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MainTableParts_1" sheetId="1" r:id="rId1"/>
  </sheets>
  <calcPr calcId="0"/>
</workbook>
</file>

<file path=xl/calcChain.xml><?xml version="1.0" encoding="utf-8"?>
<calcChain xmlns="http://schemas.openxmlformats.org/spreadsheetml/2006/main">
  <c r="D2" i="1"/>
  <c r="E2"/>
  <c r="F2"/>
  <c r="G2"/>
  <c r="H2"/>
  <c r="D3"/>
  <c r="E3"/>
  <c r="F3"/>
  <c r="G3"/>
  <c r="H3"/>
  <c r="D4"/>
  <c r="E4"/>
  <c r="F4"/>
  <c r="G4"/>
  <c r="H4"/>
  <c r="D5"/>
  <c r="E5"/>
  <c r="F5"/>
  <c r="G5"/>
  <c r="H5"/>
  <c r="D6"/>
  <c r="E6"/>
  <c r="F6"/>
  <c r="G6"/>
  <c r="H6"/>
  <c r="D7"/>
  <c r="E7"/>
  <c r="F7"/>
  <c r="G7"/>
  <c r="H7"/>
  <c r="D8"/>
  <c r="E8"/>
  <c r="F8"/>
  <c r="G8"/>
  <c r="H8"/>
  <c r="D9"/>
  <c r="E9"/>
  <c r="F9"/>
  <c r="G9"/>
  <c r="H9"/>
  <c r="D10"/>
  <c r="E10"/>
  <c r="F10"/>
  <c r="G10"/>
  <c r="H10"/>
  <c r="D11"/>
  <c r="E11"/>
  <c r="F11"/>
  <c r="G11"/>
  <c r="H11"/>
  <c r="D12"/>
  <c r="E12"/>
  <c r="F12"/>
  <c r="G12"/>
  <c r="H12"/>
  <c r="D13"/>
  <c r="E13"/>
  <c r="F13"/>
  <c r="G13"/>
  <c r="H13"/>
  <c r="D14"/>
  <c r="E14"/>
  <c r="F14"/>
  <c r="G14"/>
  <c r="H14"/>
  <c r="D15"/>
  <c r="E15"/>
  <c r="F15"/>
  <c r="G15"/>
  <c r="H15"/>
  <c r="D16"/>
  <c r="E16"/>
  <c r="F16"/>
  <c r="G16"/>
  <c r="H16"/>
  <c r="D17"/>
  <c r="E17"/>
  <c r="F17"/>
  <c r="G17"/>
  <c r="H17"/>
  <c r="D18"/>
  <c r="E18"/>
  <c r="F18"/>
  <c r="G18"/>
  <c r="H18"/>
  <c r="D19"/>
  <c r="E19"/>
  <c r="F19"/>
  <c r="G19"/>
  <c r="H19"/>
  <c r="D20"/>
  <c r="E20"/>
  <c r="F20"/>
  <c r="G20"/>
  <c r="H20"/>
  <c r="D21"/>
  <c r="E21"/>
  <c r="F21"/>
  <c r="G21"/>
  <c r="H21"/>
  <c r="D22"/>
  <c r="E22"/>
  <c r="F22"/>
  <c r="G22"/>
  <c r="H22"/>
  <c r="D23"/>
  <c r="E23"/>
  <c r="F23"/>
  <c r="G23"/>
  <c r="H23"/>
  <c r="D24"/>
  <c r="E24"/>
  <c r="F24"/>
  <c r="G24"/>
  <c r="H24"/>
  <c r="D25"/>
  <c r="E25"/>
  <c r="F25"/>
  <c r="G25"/>
  <c r="H25"/>
  <c r="D26"/>
  <c r="E26"/>
  <c r="F26"/>
  <c r="G26"/>
  <c r="H26"/>
  <c r="D27"/>
  <c r="E27"/>
  <c r="F27"/>
  <c r="G27"/>
  <c r="H27"/>
  <c r="D28"/>
  <c r="E28"/>
  <c r="F28"/>
  <c r="G28"/>
  <c r="H28"/>
  <c r="D29"/>
  <c r="E29"/>
  <c r="F29"/>
  <c r="G29"/>
  <c r="H29"/>
  <c r="D30"/>
  <c r="E30"/>
  <c r="F30"/>
  <c r="G30"/>
  <c r="H30"/>
  <c r="D31"/>
  <c r="E31"/>
  <c r="F31"/>
  <c r="G31"/>
  <c r="H31"/>
  <c r="D32"/>
  <c r="E32"/>
  <c r="F32"/>
  <c r="G32"/>
  <c r="H32"/>
  <c r="D33"/>
  <c r="E33"/>
  <c r="F33"/>
  <c r="G33"/>
  <c r="H33"/>
  <c r="D34"/>
  <c r="E34"/>
  <c r="F34"/>
  <c r="G34"/>
  <c r="H34"/>
  <c r="D35"/>
  <c r="E35"/>
  <c r="F35"/>
  <c r="G35"/>
  <c r="H35"/>
  <c r="D36"/>
  <c r="E36"/>
  <c r="F36"/>
  <c r="G36"/>
  <c r="H36"/>
  <c r="D37"/>
  <c r="E37"/>
  <c r="F37"/>
  <c r="G37"/>
  <c r="H37"/>
  <c r="D38"/>
  <c r="E38"/>
  <c r="F38"/>
  <c r="G38"/>
  <c r="H38"/>
  <c r="D39"/>
  <c r="E39"/>
  <c r="F39"/>
  <c r="G39"/>
  <c r="H39"/>
  <c r="D40"/>
  <c r="E40"/>
  <c r="F40"/>
  <c r="G40"/>
  <c r="H40"/>
  <c r="D41"/>
  <c r="E41"/>
  <c r="F41"/>
  <c r="G41"/>
  <c r="H41"/>
  <c r="D42"/>
  <c r="E42"/>
  <c r="F42"/>
  <c r="G42"/>
  <c r="H42"/>
  <c r="D43"/>
  <c r="E43"/>
  <c r="F43"/>
  <c r="G43"/>
  <c r="H43"/>
  <c r="D44"/>
  <c r="E44"/>
  <c r="F44"/>
  <c r="G44"/>
  <c r="H44"/>
  <c r="D45"/>
  <c r="E45"/>
  <c r="F45"/>
  <c r="G45"/>
  <c r="H45"/>
  <c r="D46"/>
  <c r="E46"/>
  <c r="F46"/>
  <c r="G46"/>
  <c r="H46"/>
  <c r="D47"/>
  <c r="E47"/>
  <c r="F47"/>
  <c r="G47"/>
  <c r="H47"/>
  <c r="D48"/>
  <c r="E48"/>
  <c r="F48"/>
  <c r="G48"/>
  <c r="H48"/>
  <c r="D49"/>
  <c r="E49"/>
  <c r="F49"/>
  <c r="G49"/>
  <c r="H49"/>
  <c r="D50"/>
  <c r="E50"/>
  <c r="F50"/>
  <c r="G50"/>
  <c r="H50"/>
  <c r="D51"/>
  <c r="E51"/>
  <c r="F51"/>
  <c r="G51"/>
  <c r="H51"/>
  <c r="D52"/>
  <c r="E52"/>
  <c r="F52"/>
  <c r="G52"/>
  <c r="H52"/>
  <c r="D53"/>
  <c r="E53"/>
  <c r="F53"/>
  <c r="G53"/>
  <c r="H53"/>
  <c r="D54"/>
  <c r="E54"/>
  <c r="F54"/>
  <c r="G54"/>
  <c r="H54"/>
  <c r="D55"/>
  <c r="E55"/>
  <c r="F55"/>
  <c r="G55"/>
  <c r="H55"/>
  <c r="D56"/>
  <c r="E56"/>
  <c r="F56"/>
  <c r="G56"/>
  <c r="H56"/>
  <c r="D57"/>
  <c r="E57"/>
  <c r="F57"/>
  <c r="G57"/>
  <c r="H57"/>
  <c r="D58"/>
  <c r="E58"/>
  <c r="F58"/>
  <c r="G58"/>
  <c r="H58"/>
  <c r="D59"/>
  <c r="E59"/>
  <c r="F59"/>
  <c r="G59"/>
  <c r="H59"/>
  <c r="D60"/>
  <c r="E60"/>
  <c r="F60"/>
  <c r="G60"/>
  <c r="H60"/>
  <c r="D61"/>
  <c r="E61"/>
  <c r="F61"/>
  <c r="G61"/>
  <c r="H61"/>
  <c r="D62"/>
  <c r="E62"/>
  <c r="F62"/>
  <c r="G62"/>
  <c r="H62"/>
  <c r="D63"/>
  <c r="E63"/>
  <c r="F63"/>
  <c r="G63"/>
  <c r="H63"/>
  <c r="D64"/>
  <c r="E64"/>
  <c r="F64"/>
  <c r="G64"/>
  <c r="H64"/>
  <c r="D65"/>
  <c r="E65"/>
  <c r="F65"/>
  <c r="G65"/>
  <c r="H65"/>
  <c r="D66"/>
  <c r="E66"/>
  <c r="F66"/>
  <c r="G66"/>
  <c r="H66"/>
  <c r="D67"/>
  <c r="E67"/>
  <c r="F67"/>
  <c r="G67"/>
  <c r="H67"/>
  <c r="D68"/>
  <c r="E68"/>
  <c r="F68"/>
  <c r="G68"/>
  <c r="H68"/>
  <c r="D69"/>
  <c r="E69"/>
  <c r="F69"/>
  <c r="G69"/>
  <c r="H69"/>
  <c r="D70"/>
  <c r="E70"/>
  <c r="F70"/>
  <c r="G70"/>
  <c r="H70"/>
  <c r="D71"/>
  <c r="E71"/>
  <c r="F71"/>
  <c r="G71"/>
  <c r="H71"/>
  <c r="D72"/>
  <c r="E72"/>
  <c r="F72"/>
  <c r="G72"/>
  <c r="H72"/>
  <c r="D73"/>
  <c r="E73"/>
  <c r="F73"/>
  <c r="G73"/>
  <c r="H73"/>
  <c r="D74"/>
  <c r="E74"/>
  <c r="F74"/>
  <c r="G74"/>
  <c r="H74"/>
  <c r="D75"/>
  <c r="E75"/>
  <c r="F75"/>
  <c r="G75"/>
  <c r="H75"/>
  <c r="D76"/>
  <c r="E76"/>
  <c r="F76"/>
  <c r="G76"/>
  <c r="H76"/>
  <c r="D77"/>
  <c r="E77"/>
  <c r="F77"/>
  <c r="G77"/>
  <c r="H77"/>
  <c r="D78"/>
  <c r="E78"/>
  <c r="F78"/>
  <c r="G78"/>
  <c r="H78"/>
  <c r="D79"/>
  <c r="E79"/>
  <c r="F79"/>
  <c r="G79"/>
  <c r="H79"/>
  <c r="D80"/>
  <c r="E80"/>
  <c r="F80"/>
  <c r="G80"/>
  <c r="H80"/>
  <c r="D81"/>
  <c r="E81"/>
  <c r="F81"/>
  <c r="G81"/>
  <c r="H81"/>
  <c r="D82"/>
  <c r="E82"/>
  <c r="F82"/>
  <c r="G82"/>
  <c r="H82"/>
  <c r="D83"/>
  <c r="E83"/>
  <c r="F83"/>
  <c r="G83"/>
  <c r="H83"/>
  <c r="D84"/>
  <c r="E84"/>
  <c r="F84"/>
  <c r="G84"/>
  <c r="H84"/>
  <c r="D85"/>
  <c r="E85"/>
  <c r="F85"/>
  <c r="G85"/>
  <c r="H85"/>
  <c r="D86"/>
  <c r="E86"/>
  <c r="F86"/>
  <c r="G86"/>
  <c r="H86"/>
  <c r="D87"/>
  <c r="E87"/>
  <c r="F87"/>
  <c r="G87"/>
  <c r="H87"/>
  <c r="D88"/>
  <c r="E88"/>
  <c r="F88"/>
  <c r="G88"/>
  <c r="H88"/>
  <c r="D89"/>
  <c r="E89"/>
  <c r="F89"/>
  <c r="G89"/>
  <c r="H89"/>
  <c r="D90"/>
  <c r="E90"/>
  <c r="F90"/>
  <c r="G90"/>
  <c r="H90"/>
  <c r="D91"/>
  <c r="E91"/>
  <c r="F91"/>
  <c r="G91"/>
  <c r="H91"/>
  <c r="D92"/>
  <c r="E92"/>
  <c r="F92"/>
  <c r="G92"/>
  <c r="H92"/>
  <c r="D93"/>
  <c r="E93"/>
  <c r="F93"/>
  <c r="G93"/>
  <c r="H93"/>
  <c r="D94"/>
  <c r="E94"/>
  <c r="F94"/>
  <c r="G94"/>
  <c r="H94"/>
  <c r="D95"/>
  <c r="E95"/>
  <c r="F95"/>
  <c r="G95"/>
  <c r="H95"/>
  <c r="D96"/>
  <c r="E96"/>
  <c r="F96"/>
  <c r="G96"/>
  <c r="H96"/>
  <c r="D97"/>
  <c r="E97"/>
  <c r="F97"/>
  <c r="G97"/>
  <c r="H97"/>
  <c r="D98"/>
  <c r="E98"/>
  <c r="F98"/>
  <c r="G98"/>
  <c r="H98"/>
  <c r="D99"/>
  <c r="E99"/>
  <c r="F99"/>
  <c r="G99"/>
  <c r="H99"/>
  <c r="D100"/>
  <c r="E100"/>
  <c r="F100"/>
  <c r="G100"/>
  <c r="H100"/>
  <c r="D101"/>
  <c r="E101"/>
  <c r="F101"/>
  <c r="G101"/>
  <c r="H101"/>
  <c r="D102"/>
  <c r="E102"/>
  <c r="F102"/>
  <c r="G102"/>
  <c r="H102"/>
  <c r="D103"/>
  <c r="E103"/>
  <c r="F103"/>
  <c r="G103"/>
  <c r="H103"/>
  <c r="D104"/>
  <c r="E104"/>
  <c r="F104"/>
  <c r="G104"/>
  <c r="H104"/>
  <c r="D105"/>
  <c r="E105"/>
  <c r="F105"/>
  <c r="G105"/>
  <c r="H105"/>
  <c r="D106"/>
  <c r="E106"/>
  <c r="F106"/>
  <c r="G106"/>
  <c r="H106"/>
  <c r="D107"/>
  <c r="E107"/>
  <c r="F107"/>
  <c r="G107"/>
  <c r="H107"/>
  <c r="D108"/>
  <c r="E108"/>
  <c r="F108"/>
  <c r="G108"/>
  <c r="H108"/>
  <c r="D109"/>
  <c r="E109"/>
  <c r="F109"/>
  <c r="G109"/>
  <c r="H109"/>
  <c r="D110"/>
  <c r="E110"/>
  <c r="F110"/>
  <c r="G110"/>
  <c r="H110"/>
  <c r="D111"/>
  <c r="E111"/>
  <c r="F111"/>
  <c r="G111"/>
  <c r="H111"/>
  <c r="D112"/>
  <c r="E112"/>
  <c r="F112"/>
  <c r="G112"/>
  <c r="H112"/>
  <c r="D113"/>
  <c r="E113"/>
  <c r="F113"/>
  <c r="G113"/>
  <c r="H113"/>
  <c r="D114"/>
  <c r="E114"/>
  <c r="F114"/>
  <c r="G114"/>
  <c r="H114"/>
  <c r="D115"/>
  <c r="E115"/>
  <c r="F115"/>
  <c r="G115"/>
  <c r="H115"/>
  <c r="D116"/>
  <c r="E116"/>
  <c r="F116"/>
  <c r="G116"/>
  <c r="H116"/>
  <c r="D117"/>
  <c r="E117"/>
  <c r="F117"/>
  <c r="G117"/>
  <c r="H117"/>
  <c r="D118"/>
  <c r="E118"/>
  <c r="F118"/>
  <c r="G118"/>
  <c r="H118"/>
  <c r="D119"/>
  <c r="E119"/>
  <c r="F119"/>
  <c r="G119"/>
  <c r="H119"/>
  <c r="D120"/>
  <c r="E120"/>
  <c r="F120"/>
  <c r="G120"/>
  <c r="H120"/>
  <c r="D121"/>
  <c r="E121"/>
  <c r="F121"/>
  <c r="G121"/>
  <c r="H121"/>
  <c r="D122"/>
  <c r="E122"/>
  <c r="F122"/>
  <c r="G122"/>
  <c r="H122"/>
  <c r="D123"/>
  <c r="E123"/>
  <c r="F123"/>
  <c r="G123"/>
  <c r="H123"/>
  <c r="D124"/>
  <c r="E124"/>
  <c r="F124"/>
  <c r="G124"/>
  <c r="H124"/>
  <c r="D125"/>
  <c r="E125"/>
  <c r="F125"/>
  <c r="G125"/>
  <c r="H125"/>
  <c r="D126"/>
  <c r="E126"/>
  <c r="F126"/>
  <c r="G126"/>
  <c r="H126"/>
  <c r="D127"/>
  <c r="E127"/>
  <c r="F127"/>
  <c r="G127"/>
  <c r="H127"/>
  <c r="D128"/>
  <c r="E128"/>
  <c r="F128"/>
  <c r="G128"/>
  <c r="H128"/>
  <c r="D129"/>
  <c r="E129"/>
  <c r="F129"/>
  <c r="G129"/>
  <c r="H129"/>
  <c r="D130"/>
  <c r="E130"/>
  <c r="F130"/>
  <c r="G130"/>
  <c r="H130"/>
  <c r="D131"/>
  <c r="E131"/>
  <c r="F131"/>
  <c r="G131"/>
  <c r="H131"/>
  <c r="D132"/>
  <c r="E132"/>
  <c r="F132"/>
  <c r="G132"/>
  <c r="H132"/>
  <c r="D133"/>
  <c r="E133"/>
  <c r="F133"/>
  <c r="G133"/>
  <c r="H133"/>
  <c r="D134"/>
  <c r="E134"/>
  <c r="F134"/>
  <c r="G134"/>
  <c r="H134"/>
  <c r="D135"/>
  <c r="E135"/>
  <c r="F135"/>
  <c r="G135"/>
  <c r="H135"/>
  <c r="D136"/>
  <c r="E136"/>
  <c r="F136"/>
  <c r="G136"/>
  <c r="H136"/>
  <c r="D137"/>
  <c r="E137"/>
  <c r="F137"/>
  <c r="G137"/>
  <c r="H137"/>
  <c r="D138"/>
  <c r="E138"/>
  <c r="F138"/>
  <c r="G138"/>
  <c r="H138"/>
  <c r="D139"/>
  <c r="E139"/>
  <c r="F139"/>
  <c r="G139"/>
  <c r="H139"/>
  <c r="D140"/>
  <c r="E140"/>
  <c r="F140"/>
  <c r="G140"/>
  <c r="H140"/>
  <c r="D141"/>
  <c r="E141"/>
  <c r="F141"/>
  <c r="G141"/>
  <c r="H141"/>
  <c r="D142"/>
  <c r="E142"/>
  <c r="F142"/>
  <c r="G142"/>
  <c r="H142"/>
  <c r="D143"/>
  <c r="E143"/>
  <c r="F143"/>
  <c r="G143"/>
  <c r="H143"/>
  <c r="D144"/>
  <c r="E144"/>
  <c r="F144"/>
  <c r="G144"/>
  <c r="H144"/>
  <c r="D145"/>
  <c r="E145"/>
  <c r="F145"/>
  <c r="G145"/>
  <c r="H145"/>
  <c r="D146"/>
  <c r="E146"/>
  <c r="F146"/>
  <c r="G146"/>
  <c r="H146"/>
  <c r="D147"/>
  <c r="E147"/>
  <c r="F147"/>
  <c r="G147"/>
  <c r="H147"/>
  <c r="D148"/>
  <c r="E148"/>
  <c r="F148"/>
  <c r="G148"/>
  <c r="H148"/>
  <c r="D149"/>
  <c r="E149"/>
  <c r="F149"/>
  <c r="G149"/>
  <c r="H149"/>
  <c r="D150"/>
  <c r="E150"/>
  <c r="F150"/>
  <c r="G150"/>
  <c r="H150"/>
  <c r="D151"/>
  <c r="E151"/>
  <c r="F151"/>
  <c r="G151"/>
  <c r="H151"/>
  <c r="D152"/>
  <c r="E152"/>
  <c r="F152"/>
  <c r="G152"/>
  <c r="H152"/>
  <c r="D153"/>
  <c r="E153"/>
  <c r="F153"/>
  <c r="G153"/>
  <c r="H153"/>
  <c r="D154"/>
  <c r="E154"/>
  <c r="F154"/>
  <c r="G154"/>
  <c r="H154"/>
  <c r="D155"/>
  <c r="E155"/>
  <c r="F155"/>
  <c r="G155"/>
  <c r="H155"/>
  <c r="D156"/>
  <c r="E156"/>
  <c r="F156"/>
  <c r="G156"/>
  <c r="H156"/>
  <c r="D157"/>
  <c r="E157"/>
  <c r="F157"/>
  <c r="G157"/>
  <c r="H157"/>
  <c r="D158"/>
  <c r="E158"/>
  <c r="F158"/>
  <c r="G158"/>
  <c r="H158"/>
  <c r="D159"/>
  <c r="E159"/>
  <c r="F159"/>
  <c r="G159"/>
  <c r="H159"/>
  <c r="D160"/>
  <c r="E160"/>
  <c r="F160"/>
  <c r="G160"/>
  <c r="H160"/>
  <c r="D161"/>
  <c r="E161"/>
  <c r="F161"/>
  <c r="G161"/>
  <c r="H161"/>
  <c r="D162"/>
  <c r="E162"/>
  <c r="F162"/>
  <c r="G162"/>
  <c r="H162"/>
  <c r="D163"/>
  <c r="E163"/>
  <c r="F163"/>
  <c r="G163"/>
  <c r="H163"/>
  <c r="D164"/>
  <c r="E164"/>
  <c r="F164"/>
  <c r="G164"/>
  <c r="H164"/>
  <c r="D165"/>
  <c r="E165"/>
  <c r="F165"/>
  <c r="G165"/>
  <c r="H165"/>
  <c r="D166"/>
  <c r="E166"/>
  <c r="F166"/>
  <c r="G166"/>
  <c r="H166"/>
  <c r="D167"/>
  <c r="E167"/>
  <c r="F167"/>
  <c r="G167"/>
  <c r="H167"/>
  <c r="D168"/>
  <c r="E168"/>
  <c r="F168"/>
  <c r="G168"/>
  <c r="H168"/>
  <c r="D169"/>
  <c r="E169"/>
  <c r="F169"/>
  <c r="G169"/>
  <c r="H169"/>
  <c r="D170"/>
  <c r="E170"/>
  <c r="F170"/>
  <c r="G170"/>
  <c r="H170"/>
  <c r="D171"/>
  <c r="E171"/>
  <c r="F171"/>
  <c r="G171"/>
  <c r="H171"/>
  <c r="D172"/>
  <c r="E172"/>
  <c r="F172"/>
  <c r="G172"/>
  <c r="H172"/>
  <c r="D173"/>
  <c r="E173"/>
  <c r="F173"/>
  <c r="G173"/>
  <c r="H173"/>
  <c r="D174"/>
  <c r="E174"/>
  <c r="F174"/>
  <c r="G174"/>
  <c r="H174"/>
  <c r="D175"/>
  <c r="E175"/>
  <c r="F175"/>
  <c r="G175"/>
  <c r="H175"/>
  <c r="D176"/>
  <c r="E176"/>
  <c r="F176"/>
  <c r="G176"/>
  <c r="H176"/>
  <c r="D177"/>
  <c r="E177"/>
  <c r="F177"/>
  <c r="G177"/>
  <c r="H177"/>
  <c r="D178"/>
  <c r="E178"/>
  <c r="F178"/>
  <c r="G178"/>
  <c r="H178"/>
  <c r="D179"/>
  <c r="E179"/>
  <c r="F179"/>
  <c r="G179"/>
  <c r="H179"/>
  <c r="D180"/>
  <c r="E180"/>
  <c r="F180"/>
  <c r="G180"/>
  <c r="H180"/>
  <c r="D181"/>
  <c r="E181"/>
  <c r="F181"/>
  <c r="G181"/>
  <c r="H181"/>
  <c r="D182"/>
  <c r="E182"/>
  <c r="F182"/>
  <c r="G182"/>
  <c r="H182"/>
  <c r="D183"/>
  <c r="E183"/>
  <c r="F183"/>
  <c r="G183"/>
  <c r="H183"/>
  <c r="D184"/>
  <c r="E184"/>
  <c r="F184"/>
  <c r="G184"/>
  <c r="H184"/>
  <c r="D185"/>
  <c r="E185"/>
  <c r="F185"/>
  <c r="G185"/>
  <c r="H185"/>
  <c r="D186"/>
  <c r="E186"/>
  <c r="F186"/>
  <c r="G186"/>
  <c r="H186"/>
  <c r="D187"/>
  <c r="E187"/>
  <c r="F187"/>
  <c r="G187"/>
  <c r="H187"/>
  <c r="D188"/>
  <c r="E188"/>
  <c r="F188"/>
  <c r="G188"/>
  <c r="H188"/>
  <c r="D189"/>
  <c r="E189"/>
  <c r="F189"/>
  <c r="G189"/>
  <c r="H189"/>
  <c r="D190"/>
  <c r="E190"/>
  <c r="F190"/>
  <c r="G190"/>
  <c r="H190"/>
  <c r="D191"/>
  <c r="E191"/>
  <c r="F191"/>
  <c r="G191"/>
  <c r="H191"/>
  <c r="D192"/>
  <c r="E192"/>
  <c r="F192"/>
  <c r="G192"/>
  <c r="H192"/>
  <c r="D193"/>
  <c r="E193"/>
  <c r="F193"/>
  <c r="G193"/>
  <c r="H193"/>
  <c r="D194"/>
  <c r="E194"/>
  <c r="F194"/>
  <c r="G194"/>
  <c r="H194"/>
  <c r="D195"/>
  <c r="E195"/>
  <c r="F195"/>
  <c r="G195"/>
  <c r="H195"/>
  <c r="D196"/>
  <c r="E196"/>
  <c r="F196"/>
  <c r="G196"/>
  <c r="H196"/>
  <c r="D197"/>
  <c r="E197"/>
  <c r="F197"/>
  <c r="G197"/>
  <c r="H197"/>
  <c r="D198"/>
  <c r="E198"/>
  <c r="F198"/>
  <c r="G198"/>
  <c r="H198"/>
  <c r="D199"/>
  <c r="E199"/>
  <c r="F199"/>
  <c r="G199"/>
  <c r="H199"/>
  <c r="D200"/>
  <c r="E200"/>
  <c r="F200"/>
  <c r="G200"/>
  <c r="H200"/>
  <c r="D201"/>
  <c r="E201"/>
  <c r="F201"/>
  <c r="G201"/>
  <c r="H201"/>
  <c r="D202"/>
  <c r="E202"/>
  <c r="F202"/>
  <c r="G202"/>
  <c r="H202"/>
  <c r="D203"/>
  <c r="E203"/>
  <c r="F203"/>
  <c r="G203"/>
  <c r="H203"/>
  <c r="D204"/>
  <c r="E204"/>
  <c r="F204"/>
  <c r="G204"/>
  <c r="H204"/>
  <c r="D205"/>
  <c r="E205"/>
  <c r="F205"/>
  <c r="G205"/>
  <c r="H205"/>
  <c r="D206"/>
  <c r="E206"/>
  <c r="F206"/>
  <c r="G206"/>
  <c r="H206"/>
  <c r="D207"/>
  <c r="E207"/>
  <c r="F207"/>
  <c r="G207"/>
  <c r="H207"/>
  <c r="D208"/>
  <c r="E208"/>
  <c r="F208"/>
  <c r="G208"/>
  <c r="H208"/>
  <c r="D209"/>
  <c r="E209"/>
  <c r="F209"/>
  <c r="G209"/>
  <c r="H209"/>
  <c r="D210"/>
  <c r="E210"/>
  <c r="F210"/>
  <c r="G210"/>
  <c r="H210"/>
  <c r="D211"/>
  <c r="E211"/>
  <c r="F211"/>
  <c r="G211"/>
  <c r="H211"/>
  <c r="D212"/>
  <c r="E212"/>
  <c r="F212"/>
  <c r="G212"/>
  <c r="H212"/>
  <c r="D213"/>
  <c r="E213"/>
  <c r="F213"/>
  <c r="G213"/>
  <c r="H213"/>
  <c r="D214"/>
  <c r="E214"/>
  <c r="F214"/>
  <c r="G214"/>
  <c r="H214"/>
  <c r="D215"/>
  <c r="E215"/>
  <c r="F215"/>
  <c r="G215"/>
  <c r="H215"/>
  <c r="D216"/>
  <c r="E216"/>
  <c r="F216"/>
  <c r="G216"/>
  <c r="H216"/>
  <c r="D217"/>
  <c r="E217"/>
  <c r="F217"/>
  <c r="G217"/>
  <c r="H217"/>
  <c r="D218"/>
  <c r="E218"/>
  <c r="F218"/>
  <c r="G218"/>
  <c r="H218"/>
  <c r="D219"/>
  <c r="E219"/>
  <c r="F219"/>
  <c r="G219"/>
  <c r="H219"/>
  <c r="D220"/>
  <c r="E220"/>
  <c r="F220"/>
  <c r="G220"/>
  <c r="H220"/>
  <c r="D221"/>
  <c r="E221"/>
  <c r="F221"/>
  <c r="G221"/>
  <c r="H221"/>
  <c r="D222"/>
  <c r="E222"/>
  <c r="F222"/>
  <c r="G222"/>
  <c r="H222"/>
  <c r="D223"/>
  <c r="E223"/>
  <c r="F223"/>
  <c r="G223"/>
  <c r="H223"/>
  <c r="D224"/>
  <c r="E224"/>
  <c r="F224"/>
  <c r="G224"/>
  <c r="H224"/>
  <c r="D225"/>
  <c r="E225"/>
  <c r="F225"/>
  <c r="G225"/>
  <c r="H225"/>
  <c r="D226"/>
  <c r="E226"/>
  <c r="F226"/>
  <c r="G226"/>
  <c r="H226"/>
  <c r="D227"/>
  <c r="E227"/>
  <c r="F227"/>
  <c r="G227"/>
  <c r="H227"/>
  <c r="D228"/>
  <c r="E228"/>
  <c r="F228"/>
  <c r="G228"/>
  <c r="H228"/>
  <c r="D229"/>
  <c r="E229"/>
  <c r="F229"/>
  <c r="G229"/>
  <c r="H229"/>
  <c r="D230"/>
  <c r="E230"/>
  <c r="F230"/>
  <c r="G230"/>
  <c r="H230"/>
  <c r="D231"/>
  <c r="E231"/>
  <c r="F231"/>
  <c r="G231"/>
  <c r="H231"/>
  <c r="D232"/>
  <c r="E232"/>
  <c r="F232"/>
  <c r="G232"/>
  <c r="H232"/>
  <c r="D233"/>
  <c r="E233"/>
  <c r="F233"/>
  <c r="G233"/>
  <c r="H233"/>
  <c r="D234"/>
  <c r="E234"/>
  <c r="F234"/>
  <c r="G234"/>
  <c r="H234"/>
  <c r="D235"/>
  <c r="E235"/>
  <c r="F235"/>
  <c r="G235"/>
  <c r="H235"/>
  <c r="D236"/>
  <c r="E236"/>
  <c r="F236"/>
  <c r="G236"/>
  <c r="H236"/>
  <c r="D237"/>
  <c r="E237"/>
  <c r="F237"/>
  <c r="G237"/>
  <c r="H237"/>
  <c r="D238"/>
  <c r="E238"/>
  <c r="F238"/>
  <c r="G238"/>
  <c r="H238"/>
  <c r="D239"/>
  <c r="E239"/>
  <c r="F239"/>
  <c r="G239"/>
  <c r="H239"/>
  <c r="D240"/>
  <c r="E240"/>
  <c r="F240"/>
  <c r="G240"/>
  <c r="H240"/>
  <c r="D241"/>
  <c r="E241"/>
  <c r="F241"/>
  <c r="G241"/>
  <c r="H241"/>
  <c r="D242"/>
  <c r="E242"/>
  <c r="F242"/>
  <c r="G242"/>
  <c r="H242"/>
  <c r="D243"/>
  <c r="E243"/>
  <c r="F243"/>
  <c r="G243"/>
  <c r="H243"/>
  <c r="D244"/>
  <c r="E244"/>
  <c r="F244"/>
  <c r="G244"/>
  <c r="H244"/>
  <c r="D245"/>
  <c r="E245"/>
  <c r="F245"/>
  <c r="G245"/>
  <c r="H245"/>
  <c r="D246"/>
  <c r="E246"/>
  <c r="F246"/>
  <c r="G246"/>
  <c r="H246"/>
  <c r="D247"/>
  <c r="E247"/>
  <c r="F247"/>
  <c r="G247"/>
  <c r="H247"/>
  <c r="D248"/>
  <c r="E248"/>
  <c r="F248"/>
  <c r="G248"/>
  <c r="H248"/>
  <c r="D249"/>
  <c r="E249"/>
  <c r="F249"/>
  <c r="G249"/>
  <c r="H249"/>
  <c r="D250"/>
  <c r="E250"/>
  <c r="F250"/>
  <c r="G250"/>
  <c r="H250"/>
  <c r="D251"/>
  <c r="E251"/>
  <c r="F251"/>
  <c r="G251"/>
  <c r="H251"/>
  <c r="D252"/>
  <c r="E252"/>
  <c r="F252"/>
  <c r="G252"/>
  <c r="H252"/>
  <c r="D253"/>
  <c r="E253"/>
  <c r="F253"/>
  <c r="G253"/>
  <c r="H253"/>
  <c r="D254"/>
  <c r="E254"/>
  <c r="F254"/>
  <c r="G254"/>
  <c r="H254"/>
  <c r="D255"/>
  <c r="E255"/>
  <c r="F255"/>
  <c r="G255"/>
  <c r="H255"/>
  <c r="D256"/>
  <c r="E256"/>
  <c r="F256"/>
  <c r="G256"/>
  <c r="H256"/>
  <c r="D257"/>
  <c r="E257"/>
  <c r="F257"/>
  <c r="G257"/>
  <c r="H257"/>
  <c r="D258"/>
  <c r="E258"/>
  <c r="F258"/>
  <c r="G258"/>
  <c r="H258"/>
  <c r="D259"/>
  <c r="E259"/>
  <c r="F259"/>
  <c r="G259"/>
  <c r="H259"/>
  <c r="D260"/>
  <c r="E260"/>
  <c r="F260"/>
  <c r="G260"/>
  <c r="H260"/>
  <c r="D261"/>
  <c r="E261"/>
  <c r="F261"/>
  <c r="G261"/>
  <c r="H261"/>
  <c r="D262"/>
  <c r="E262"/>
  <c r="F262"/>
  <c r="G262"/>
  <c r="H262"/>
  <c r="D263"/>
  <c r="E263"/>
  <c r="F263"/>
  <c r="G263"/>
  <c r="H263"/>
  <c r="D264"/>
  <c r="E264"/>
  <c r="F264"/>
  <c r="G264"/>
  <c r="H264"/>
  <c r="D265"/>
  <c r="E265"/>
  <c r="F265"/>
  <c r="G265"/>
  <c r="H265"/>
  <c r="D266"/>
  <c r="E266"/>
  <c r="F266"/>
  <c r="G266"/>
  <c r="H266"/>
  <c r="D267"/>
  <c r="E267"/>
  <c r="F267"/>
  <c r="G267"/>
  <c r="H267"/>
  <c r="D268"/>
  <c r="E268"/>
  <c r="F268"/>
  <c r="G268"/>
  <c r="H268"/>
  <c r="D269"/>
  <c r="E269"/>
  <c r="F269"/>
  <c r="G269"/>
  <c r="H269"/>
  <c r="D270"/>
  <c r="E270"/>
  <c r="F270"/>
  <c r="G270"/>
  <c r="H270"/>
  <c r="D271"/>
  <c r="E271"/>
  <c r="F271"/>
  <c r="G271"/>
  <c r="H271"/>
  <c r="D272"/>
  <c r="E272"/>
  <c r="F272"/>
  <c r="G272"/>
  <c r="H272"/>
  <c r="D273"/>
  <c r="E273"/>
  <c r="F273"/>
  <c r="G273"/>
  <c r="H273"/>
  <c r="D274"/>
  <c r="E274"/>
  <c r="F274"/>
  <c r="G274"/>
  <c r="H274"/>
  <c r="D275"/>
  <c r="E275"/>
  <c r="F275"/>
  <c r="G275"/>
  <c r="H275"/>
  <c r="D276"/>
  <c r="E276"/>
  <c r="F276"/>
  <c r="G276"/>
  <c r="H276"/>
  <c r="D277"/>
  <c r="E277"/>
  <c r="F277"/>
  <c r="G277"/>
  <c r="H277"/>
  <c r="D278"/>
  <c r="E278"/>
  <c r="F278"/>
  <c r="G278"/>
  <c r="H278"/>
  <c r="D279"/>
  <c r="E279"/>
  <c r="F279"/>
  <c r="G279"/>
  <c r="H279"/>
  <c r="D280"/>
  <c r="E280"/>
  <c r="F280"/>
  <c r="G280"/>
  <c r="H280"/>
  <c r="D281"/>
  <c r="E281"/>
  <c r="F281"/>
  <c r="G281"/>
  <c r="H281"/>
  <c r="D282"/>
  <c r="E282"/>
  <c r="F282"/>
  <c r="G282"/>
  <c r="H282"/>
  <c r="D283"/>
  <c r="E283"/>
  <c r="F283"/>
  <c r="G283"/>
  <c r="H283"/>
  <c r="D284"/>
  <c r="E284"/>
  <c r="F284"/>
  <c r="G284"/>
  <c r="H284"/>
  <c r="D285"/>
  <c r="E285"/>
  <c r="F285"/>
  <c r="G285"/>
  <c r="H285"/>
  <c r="D286"/>
  <c r="E286"/>
  <c r="F286"/>
  <c r="G286"/>
  <c r="H286"/>
  <c r="D287"/>
  <c r="E287"/>
  <c r="F287"/>
  <c r="G287"/>
  <c r="H287"/>
  <c r="D288"/>
  <c r="E288"/>
  <c r="F288"/>
  <c r="G288"/>
  <c r="H288"/>
  <c r="D289"/>
  <c r="E289"/>
  <c r="F289"/>
  <c r="G289"/>
  <c r="H289"/>
  <c r="D290"/>
  <c r="E290"/>
  <c r="F290"/>
  <c r="G290"/>
  <c r="H290"/>
  <c r="D291"/>
  <c r="E291"/>
  <c r="F291"/>
  <c r="G291"/>
  <c r="H291"/>
  <c r="D292"/>
  <c r="E292"/>
  <c r="F292"/>
  <c r="G292"/>
  <c r="H292"/>
  <c r="D293"/>
  <c r="E293"/>
  <c r="F293"/>
  <c r="G293"/>
  <c r="H293"/>
  <c r="D294"/>
  <c r="E294"/>
  <c r="F294"/>
  <c r="G294"/>
  <c r="H294"/>
  <c r="D295"/>
  <c r="E295"/>
  <c r="F295"/>
  <c r="G295"/>
  <c r="H295"/>
  <c r="D296"/>
  <c r="E296"/>
  <c r="F296"/>
  <c r="G296"/>
  <c r="H296"/>
  <c r="D297"/>
  <c r="E297"/>
  <c r="F297"/>
  <c r="G297"/>
  <c r="H297"/>
  <c r="D298"/>
  <c r="E298"/>
  <c r="F298"/>
  <c r="G298"/>
  <c r="H298"/>
  <c r="D299"/>
  <c r="E299"/>
  <c r="F299"/>
  <c r="G299"/>
  <c r="H299"/>
  <c r="D300"/>
  <c r="E300"/>
  <c r="F300"/>
  <c r="G300"/>
  <c r="H300"/>
  <c r="D301"/>
  <c r="E301"/>
  <c r="F301"/>
  <c r="G301"/>
  <c r="H301"/>
  <c r="D302"/>
  <c r="E302"/>
  <c r="F302"/>
  <c r="G302"/>
  <c r="H302"/>
  <c r="D303"/>
  <c r="E303"/>
  <c r="F303"/>
  <c r="G303"/>
  <c r="H303"/>
  <c r="D304"/>
  <c r="E304"/>
  <c r="F304"/>
  <c r="G304"/>
  <c r="H304"/>
  <c r="D305"/>
  <c r="E305"/>
  <c r="F305"/>
  <c r="G305"/>
  <c r="H305"/>
  <c r="D306"/>
  <c r="E306"/>
  <c r="F306"/>
  <c r="G306"/>
  <c r="H306"/>
  <c r="D307"/>
  <c r="E307"/>
  <c r="F307"/>
  <c r="G307"/>
  <c r="H307"/>
  <c r="D308"/>
  <c r="E308"/>
  <c r="F308"/>
  <c r="G308"/>
  <c r="H308"/>
  <c r="D309"/>
  <c r="E309"/>
  <c r="F309"/>
  <c r="G309"/>
  <c r="H309"/>
  <c r="D310"/>
  <c r="E310"/>
  <c r="F310"/>
  <c r="G310"/>
  <c r="H310"/>
  <c r="D311"/>
  <c r="E311"/>
  <c r="F311"/>
  <c r="G311"/>
  <c r="H311"/>
  <c r="D312"/>
  <c r="E312"/>
  <c r="F312"/>
  <c r="G312"/>
  <c r="H312"/>
  <c r="D313"/>
  <c r="E313"/>
  <c r="F313"/>
  <c r="G313"/>
  <c r="H313"/>
  <c r="D314"/>
  <c r="E314"/>
  <c r="F314"/>
  <c r="G314"/>
  <c r="H314"/>
  <c r="D315"/>
  <c r="E315"/>
  <c r="F315"/>
  <c r="G315"/>
  <c r="H315"/>
  <c r="D316"/>
  <c r="E316"/>
  <c r="F316"/>
  <c r="G316"/>
  <c r="H316"/>
  <c r="D317"/>
  <c r="E317"/>
  <c r="F317"/>
  <c r="G317"/>
  <c r="H317"/>
  <c r="D318"/>
  <c r="E318"/>
  <c r="F318"/>
  <c r="G318"/>
  <c r="H318"/>
  <c r="D319"/>
  <c r="E319"/>
  <c r="F319"/>
  <c r="G319"/>
  <c r="H319"/>
  <c r="D320"/>
  <c r="E320"/>
  <c r="F320"/>
  <c r="G320"/>
  <c r="H320"/>
  <c r="D321"/>
  <c r="E321"/>
  <c r="F321"/>
  <c r="G321"/>
  <c r="H321"/>
  <c r="D322"/>
  <c r="E322"/>
  <c r="F322"/>
  <c r="G322"/>
  <c r="H322"/>
  <c r="D323"/>
  <c r="E323"/>
  <c r="F323"/>
  <c r="G323"/>
  <c r="H323"/>
  <c r="D324"/>
  <c r="E324"/>
  <c r="F324"/>
  <c r="G324"/>
  <c r="H324"/>
  <c r="D325"/>
  <c r="E325"/>
  <c r="F325"/>
  <c r="G325"/>
  <c r="H325"/>
  <c r="D326"/>
  <c r="E326"/>
  <c r="F326"/>
  <c r="G326"/>
  <c r="H326"/>
  <c r="D327"/>
  <c r="E327"/>
  <c r="F327"/>
  <c r="G327"/>
  <c r="H327"/>
  <c r="D328"/>
  <c r="E328"/>
  <c r="F328"/>
  <c r="G328"/>
  <c r="H328"/>
  <c r="D329"/>
  <c r="E329"/>
  <c r="F329"/>
  <c r="G329"/>
  <c r="H329"/>
  <c r="D330"/>
  <c r="E330"/>
  <c r="F330"/>
  <c r="G330"/>
  <c r="H330"/>
  <c r="D331"/>
  <c r="E331"/>
  <c r="F331"/>
  <c r="G331"/>
  <c r="H331"/>
  <c r="D332"/>
  <c r="E332"/>
  <c r="F332"/>
  <c r="G332"/>
  <c r="H332"/>
  <c r="D333"/>
  <c r="E333"/>
  <c r="F333"/>
  <c r="G333"/>
  <c r="H333"/>
  <c r="D334"/>
  <c r="E334"/>
  <c r="F334"/>
  <c r="G334"/>
  <c r="H334"/>
  <c r="D335"/>
  <c r="E335"/>
  <c r="F335"/>
  <c r="G335"/>
  <c r="H335"/>
  <c r="D336"/>
  <c r="E336"/>
  <c r="F336"/>
  <c r="G336"/>
  <c r="H336"/>
  <c r="D337"/>
  <c r="E337"/>
  <c r="F337"/>
  <c r="G337"/>
  <c r="H337"/>
  <c r="D338"/>
  <c r="E338"/>
  <c r="F338"/>
  <c r="G338"/>
  <c r="H338"/>
  <c r="D339"/>
  <c r="E339"/>
  <c r="F339"/>
  <c r="G339"/>
  <c r="H339"/>
  <c r="D340"/>
  <c r="E340"/>
  <c r="F340"/>
  <c r="G340"/>
  <c r="H340"/>
  <c r="D341"/>
  <c r="E341"/>
  <c r="F341"/>
  <c r="G341"/>
  <c r="H341"/>
  <c r="D342"/>
  <c r="E342"/>
  <c r="F342"/>
  <c r="G342"/>
  <c r="H342"/>
  <c r="D343"/>
  <c r="E343"/>
  <c r="F343"/>
  <c r="G343"/>
  <c r="H343"/>
  <c r="D344"/>
  <c r="E344"/>
  <c r="F344"/>
  <c r="G344"/>
  <c r="H344"/>
  <c r="D345"/>
  <c r="E345"/>
  <c r="F345"/>
  <c r="G345"/>
  <c r="H345"/>
  <c r="D346"/>
  <c r="E346"/>
  <c r="F346"/>
  <c r="G346"/>
  <c r="H346"/>
  <c r="D347"/>
  <c r="E347"/>
  <c r="F347"/>
  <c r="G347"/>
  <c r="H347"/>
  <c r="D348"/>
  <c r="E348"/>
  <c r="F348"/>
  <c r="G348"/>
  <c r="H348"/>
  <c r="D349"/>
  <c r="E349"/>
  <c r="F349"/>
  <c r="G349"/>
  <c r="H349"/>
  <c r="D350"/>
  <c r="E350"/>
  <c r="F350"/>
  <c r="G350"/>
  <c r="H350"/>
  <c r="D351"/>
  <c r="E351"/>
  <c r="F351"/>
  <c r="G351"/>
  <c r="H351"/>
  <c r="D352"/>
  <c r="E352"/>
  <c r="F352"/>
  <c r="G352"/>
  <c r="H352"/>
  <c r="D353"/>
  <c r="E353"/>
  <c r="F353"/>
  <c r="G353"/>
  <c r="H353"/>
  <c r="D354"/>
  <c r="E354"/>
  <c r="F354"/>
  <c r="G354"/>
  <c r="H354"/>
  <c r="D355"/>
  <c r="E355"/>
  <c r="F355"/>
  <c r="G355"/>
  <c r="H355"/>
  <c r="D356"/>
  <c r="E356"/>
  <c r="F356"/>
  <c r="G356"/>
  <c r="H356"/>
  <c r="D357"/>
  <c r="E357"/>
  <c r="F357"/>
  <c r="G357"/>
  <c r="H357"/>
  <c r="D358"/>
  <c r="E358"/>
  <c r="F358"/>
  <c r="G358"/>
  <c r="H358"/>
  <c r="D359"/>
  <c r="E359"/>
  <c r="F359"/>
  <c r="G359"/>
  <c r="H359"/>
  <c r="D360"/>
  <c r="E360"/>
  <c r="F360"/>
  <c r="G360"/>
  <c r="H360"/>
  <c r="D361"/>
  <c r="E361"/>
  <c r="F361"/>
  <c r="G361"/>
  <c r="H361"/>
  <c r="D362"/>
  <c r="E362"/>
  <c r="F362"/>
  <c r="G362"/>
  <c r="H362"/>
  <c r="D363"/>
  <c r="E363"/>
  <c r="F363"/>
  <c r="G363"/>
  <c r="H363"/>
  <c r="D364"/>
  <c r="E364"/>
  <c r="F364"/>
  <c r="G364"/>
  <c r="H364"/>
  <c r="D365"/>
  <c r="E365"/>
  <c r="F365"/>
  <c r="G365"/>
  <c r="H365"/>
  <c r="D366"/>
  <c r="E366"/>
  <c r="F366"/>
  <c r="G366"/>
  <c r="H366"/>
  <c r="D367"/>
  <c r="E367"/>
  <c r="F367"/>
  <c r="G367"/>
  <c r="H367"/>
  <c r="D368"/>
  <c r="E368"/>
  <c r="F368"/>
  <c r="G368"/>
  <c r="H368"/>
  <c r="D369"/>
  <c r="E369"/>
  <c r="F369"/>
  <c r="G369"/>
  <c r="H369"/>
  <c r="D370"/>
  <c r="E370"/>
  <c r="F370"/>
  <c r="G370"/>
  <c r="H370"/>
  <c r="D371"/>
  <c r="E371"/>
  <c r="F371"/>
  <c r="G371"/>
  <c r="H371"/>
  <c r="D372"/>
  <c r="E372"/>
  <c r="F372"/>
  <c r="G372"/>
  <c r="H372"/>
  <c r="D373"/>
  <c r="E373"/>
  <c r="F373"/>
  <c r="G373"/>
  <c r="H373"/>
  <c r="D374"/>
  <c r="E374"/>
  <c r="F374"/>
  <c r="G374"/>
  <c r="H374"/>
  <c r="D375"/>
  <c r="E375"/>
  <c r="F375"/>
  <c r="G375"/>
  <c r="H375"/>
  <c r="D376"/>
  <c r="E376"/>
  <c r="F376"/>
  <c r="G376"/>
  <c r="H376"/>
  <c r="D377"/>
  <c r="E377"/>
  <c r="F377"/>
  <c r="G377"/>
  <c r="H377"/>
  <c r="D378"/>
  <c r="E378"/>
  <c r="F378"/>
  <c r="G378"/>
  <c r="H378"/>
  <c r="D379"/>
  <c r="E379"/>
  <c r="F379"/>
  <c r="G379"/>
  <c r="H379"/>
  <c r="D380"/>
  <c r="E380"/>
  <c r="F380"/>
  <c r="G380"/>
  <c r="H380"/>
  <c r="D381"/>
  <c r="E381"/>
  <c r="F381"/>
  <c r="G381"/>
  <c r="H381"/>
  <c r="D382"/>
  <c r="E382"/>
  <c r="F382"/>
  <c r="G382"/>
  <c r="H382"/>
  <c r="D383"/>
  <c r="E383"/>
  <c r="F383"/>
  <c r="G383"/>
  <c r="H383"/>
  <c r="D384"/>
  <c r="E384"/>
  <c r="F384"/>
  <c r="G384"/>
  <c r="H384"/>
  <c r="D385"/>
  <c r="E385"/>
  <c r="F385"/>
  <c r="G385"/>
  <c r="H385"/>
  <c r="D386"/>
  <c r="E386"/>
  <c r="F386"/>
  <c r="G386"/>
  <c r="H386"/>
  <c r="D387"/>
  <c r="E387"/>
  <c r="F387"/>
  <c r="G387"/>
  <c r="H387"/>
  <c r="D388"/>
  <c r="E388"/>
  <c r="F388"/>
  <c r="G388"/>
  <c r="H388"/>
  <c r="D389"/>
  <c r="E389"/>
  <c r="F389"/>
  <c r="G389"/>
  <c r="H389"/>
  <c r="D390"/>
  <c r="E390"/>
  <c r="F390"/>
  <c r="G390"/>
  <c r="H390"/>
  <c r="D391"/>
  <c r="E391"/>
  <c r="F391"/>
  <c r="G391"/>
  <c r="H391"/>
  <c r="D392"/>
  <c r="E392"/>
  <c r="F392"/>
  <c r="G392"/>
  <c r="H392"/>
  <c r="D393"/>
  <c r="E393"/>
  <c r="F393"/>
  <c r="G393"/>
  <c r="H393"/>
  <c r="D394"/>
  <c r="E394"/>
  <c r="F394"/>
  <c r="G394"/>
  <c r="H394"/>
  <c r="D395"/>
  <c r="E395"/>
  <c r="F395"/>
  <c r="G395"/>
  <c r="H395"/>
  <c r="D396"/>
  <c r="E396"/>
  <c r="F396"/>
  <c r="G396"/>
  <c r="H396"/>
  <c r="D397"/>
  <c r="E397"/>
  <c r="F397"/>
  <c r="G397"/>
  <c r="H397"/>
  <c r="D398"/>
  <c r="E398"/>
  <c r="F398"/>
  <c r="G398"/>
  <c r="H398"/>
  <c r="D399"/>
  <c r="E399"/>
  <c r="F399"/>
  <c r="G399"/>
  <c r="H399"/>
  <c r="D400"/>
  <c r="E400"/>
  <c r="F400"/>
  <c r="G400"/>
  <c r="H400"/>
  <c r="D401"/>
  <c r="E401"/>
  <c r="F401"/>
  <c r="G401"/>
  <c r="H401"/>
  <c r="D402"/>
  <c r="E402"/>
  <c r="F402"/>
  <c r="G402"/>
  <c r="H402"/>
  <c r="D403"/>
  <c r="E403"/>
  <c r="F403"/>
  <c r="G403"/>
  <c r="H403"/>
  <c r="D404"/>
  <c r="E404"/>
  <c r="F404"/>
  <c r="G404"/>
  <c r="H404"/>
  <c r="D405"/>
  <c r="E405"/>
  <c r="F405"/>
  <c r="G405"/>
  <c r="H405"/>
  <c r="D406"/>
  <c r="E406"/>
  <c r="F406"/>
  <c r="G406"/>
  <c r="H406"/>
  <c r="D407"/>
  <c r="E407"/>
  <c r="F407"/>
  <c r="G407"/>
  <c r="H407"/>
  <c r="D408"/>
  <c r="E408"/>
  <c r="F408"/>
  <c r="G408"/>
  <c r="H408"/>
  <c r="D409"/>
  <c r="E409"/>
  <c r="F409"/>
  <c r="G409"/>
  <c r="H409"/>
  <c r="D410"/>
  <c r="E410"/>
  <c r="F410"/>
  <c r="G410"/>
  <c r="H410"/>
  <c r="D411"/>
  <c r="E411"/>
  <c r="F411"/>
  <c r="G411"/>
  <c r="H411"/>
  <c r="D412"/>
  <c r="E412"/>
  <c r="F412"/>
  <c r="G412"/>
  <c r="H412"/>
  <c r="D413"/>
  <c r="E413"/>
  <c r="F413"/>
  <c r="G413"/>
  <c r="H413"/>
  <c r="D414"/>
  <c r="E414"/>
  <c r="F414"/>
  <c r="G414"/>
  <c r="H414"/>
  <c r="D415"/>
  <c r="E415"/>
  <c r="F415"/>
  <c r="G415"/>
  <c r="H415"/>
  <c r="D416"/>
  <c r="E416"/>
  <c r="F416"/>
  <c r="G416"/>
  <c r="H416"/>
  <c r="D417"/>
  <c r="E417"/>
  <c r="F417"/>
  <c r="G417"/>
  <c r="H417"/>
  <c r="D418"/>
  <c r="E418"/>
  <c r="F418"/>
  <c r="G418"/>
  <c r="H418"/>
  <c r="D419"/>
  <c r="E419"/>
  <c r="F419"/>
  <c r="G419"/>
  <c r="H419"/>
  <c r="D420"/>
  <c r="E420"/>
  <c r="F420"/>
  <c r="G420"/>
  <c r="H420"/>
  <c r="D421"/>
  <c r="E421"/>
  <c r="F421"/>
  <c r="G421"/>
  <c r="H421"/>
  <c r="D422"/>
  <c r="E422"/>
  <c r="F422"/>
  <c r="G422"/>
  <c r="H422"/>
  <c r="D423"/>
  <c r="E423"/>
  <c r="F423"/>
  <c r="G423"/>
  <c r="H423"/>
  <c r="D424"/>
  <c r="E424"/>
  <c r="F424"/>
  <c r="G424"/>
  <c r="H424"/>
  <c r="D425"/>
  <c r="E425"/>
  <c r="F425"/>
  <c r="G425"/>
  <c r="H425"/>
  <c r="D426"/>
  <c r="E426"/>
  <c r="F426"/>
  <c r="G426"/>
  <c r="H426"/>
  <c r="D427"/>
  <c r="E427"/>
  <c r="F427"/>
  <c r="G427"/>
  <c r="H427"/>
  <c r="D428"/>
  <c r="E428"/>
  <c r="F428"/>
  <c r="G428"/>
  <c r="H428"/>
  <c r="D429"/>
  <c r="E429"/>
  <c r="F429"/>
  <c r="G429"/>
  <c r="H429"/>
  <c r="D430"/>
  <c r="E430"/>
  <c r="F430"/>
  <c r="G430"/>
  <c r="H430"/>
  <c r="D431"/>
  <c r="E431"/>
  <c r="F431"/>
  <c r="G431"/>
  <c r="H431"/>
  <c r="D432"/>
  <c r="E432"/>
  <c r="F432"/>
  <c r="G432"/>
  <c r="H432"/>
  <c r="D433"/>
  <c r="E433"/>
  <c r="F433"/>
  <c r="G433"/>
  <c r="H433"/>
  <c r="D434"/>
  <c r="E434"/>
  <c r="F434"/>
  <c r="G434"/>
  <c r="H434"/>
  <c r="D435"/>
  <c r="E435"/>
  <c r="F435"/>
  <c r="G435"/>
  <c r="H435"/>
  <c r="D436"/>
  <c r="E436"/>
  <c r="F436"/>
  <c r="G436"/>
  <c r="H436"/>
  <c r="D437"/>
  <c r="E437"/>
  <c r="F437"/>
  <c r="G437"/>
  <c r="H437"/>
  <c r="D438"/>
  <c r="E438"/>
  <c r="F438"/>
  <c r="G438"/>
  <c r="H438"/>
  <c r="D439"/>
  <c r="E439"/>
  <c r="F439"/>
  <c r="G439"/>
  <c r="H439"/>
  <c r="D440"/>
  <c r="E440"/>
  <c r="F440"/>
  <c r="G440"/>
  <c r="H440"/>
  <c r="D441"/>
  <c r="E441"/>
  <c r="F441"/>
  <c r="G441"/>
  <c r="H441"/>
  <c r="D442"/>
  <c r="E442"/>
  <c r="F442"/>
  <c r="G442"/>
  <c r="H442"/>
  <c r="D443"/>
  <c r="E443"/>
  <c r="F443"/>
  <c r="G443"/>
  <c r="H443"/>
  <c r="D444"/>
  <c r="E444"/>
  <c r="F444"/>
  <c r="G444"/>
  <c r="H444"/>
  <c r="D445"/>
  <c r="E445"/>
  <c r="F445"/>
  <c r="G445"/>
  <c r="H445"/>
  <c r="D446"/>
  <c r="E446"/>
  <c r="F446"/>
  <c r="G446"/>
  <c r="H446"/>
  <c r="D447"/>
  <c r="E447"/>
  <c r="F447"/>
  <c r="G447"/>
  <c r="H447"/>
  <c r="D448"/>
  <c r="E448"/>
  <c r="F448"/>
  <c r="G448"/>
  <c r="H448"/>
  <c r="D449"/>
  <c r="E449"/>
  <c r="F449"/>
  <c r="G449"/>
  <c r="H449"/>
  <c r="D450"/>
  <c r="E450"/>
  <c r="F450"/>
  <c r="G450"/>
  <c r="H450"/>
  <c r="D451"/>
  <c r="E451"/>
  <c r="F451"/>
  <c r="G451"/>
  <c r="H451"/>
  <c r="D452"/>
  <c r="E452"/>
  <c r="F452"/>
  <c r="G452"/>
  <c r="H452"/>
  <c r="D453"/>
  <c r="E453"/>
  <c r="F453"/>
  <c r="G453"/>
  <c r="H453"/>
  <c r="D454"/>
  <c r="E454"/>
  <c r="F454"/>
  <c r="G454"/>
  <c r="H454"/>
  <c r="D455"/>
  <c r="E455"/>
  <c r="F455"/>
  <c r="G455"/>
  <c r="H455"/>
  <c r="D456"/>
  <c r="E456"/>
  <c r="F456"/>
  <c r="G456"/>
  <c r="H456"/>
  <c r="D457"/>
  <c r="E457"/>
  <c r="F457"/>
  <c r="G457"/>
  <c r="H457"/>
  <c r="D458"/>
  <c r="E458"/>
  <c r="F458"/>
  <c r="G458"/>
  <c r="H458"/>
  <c r="D459"/>
  <c r="E459"/>
  <c r="F459"/>
  <c r="G459"/>
  <c r="H459"/>
  <c r="D460"/>
  <c r="E460"/>
  <c r="F460"/>
  <c r="G460"/>
  <c r="H460"/>
  <c r="D461"/>
  <c r="E461"/>
  <c r="F461"/>
  <c r="G461"/>
  <c r="H461"/>
  <c r="D462"/>
  <c r="E462"/>
  <c r="F462"/>
  <c r="G462"/>
  <c r="H462"/>
  <c r="D463"/>
  <c r="E463"/>
  <c r="F463"/>
  <c r="G463"/>
  <c r="H463"/>
  <c r="D464"/>
  <c r="E464"/>
  <c r="F464"/>
  <c r="G464"/>
  <c r="H464"/>
  <c r="D465"/>
  <c r="E465"/>
  <c r="F465"/>
  <c r="G465"/>
  <c r="H465"/>
  <c r="D466"/>
  <c r="E466"/>
  <c r="F466"/>
  <c r="G466"/>
  <c r="H466"/>
  <c r="D467"/>
  <c r="E467"/>
  <c r="F467"/>
  <c r="G467"/>
  <c r="H467"/>
  <c r="D468"/>
  <c r="E468"/>
  <c r="F468"/>
  <c r="G468"/>
  <c r="H468"/>
  <c r="D469"/>
  <c r="E469"/>
  <c r="F469"/>
  <c r="G469"/>
  <c r="H469"/>
  <c r="D470"/>
  <c r="E470"/>
  <c r="F470"/>
  <c r="G470"/>
  <c r="H470"/>
  <c r="D471"/>
  <c r="E471"/>
  <c r="F471"/>
  <c r="G471"/>
  <c r="H471"/>
  <c r="D472"/>
  <c r="E472"/>
  <c r="F472"/>
  <c r="G472"/>
  <c r="H472"/>
  <c r="D473"/>
  <c r="E473"/>
  <c r="F473"/>
  <c r="G473"/>
  <c r="H473"/>
  <c r="D474"/>
  <c r="E474"/>
  <c r="F474"/>
  <c r="G474"/>
  <c r="H474"/>
  <c r="D475"/>
  <c r="E475"/>
  <c r="F475"/>
  <c r="G475"/>
  <c r="H475"/>
  <c r="D476"/>
  <c r="E476"/>
  <c r="F476"/>
  <c r="G476"/>
  <c r="H476"/>
  <c r="D477"/>
  <c r="E477"/>
  <c r="F477"/>
  <c r="G477"/>
  <c r="H477"/>
  <c r="D478"/>
  <c r="E478"/>
  <c r="F478"/>
  <c r="G478"/>
  <c r="H478"/>
  <c r="D479"/>
  <c r="E479"/>
  <c r="F479"/>
  <c r="G479"/>
  <c r="H479"/>
  <c r="D480"/>
  <c r="E480"/>
  <c r="F480"/>
  <c r="G480"/>
  <c r="H480"/>
  <c r="D481"/>
  <c r="E481"/>
  <c r="F481"/>
  <c r="G481"/>
  <c r="H481"/>
  <c r="D482"/>
  <c r="E482"/>
  <c r="F482"/>
  <c r="G482"/>
  <c r="H482"/>
  <c r="D483"/>
  <c r="E483"/>
  <c r="F483"/>
  <c r="G483"/>
  <c r="H483"/>
  <c r="D484"/>
  <c r="E484"/>
  <c r="F484"/>
  <c r="G484"/>
  <c r="H484"/>
  <c r="D485"/>
  <c r="E485"/>
  <c r="F485"/>
  <c r="G485"/>
  <c r="H485"/>
  <c r="D486"/>
  <c r="E486"/>
  <c r="F486"/>
  <c r="G486"/>
  <c r="H486"/>
  <c r="D487"/>
  <c r="E487"/>
  <c r="F487"/>
  <c r="G487"/>
  <c r="H487"/>
  <c r="D488"/>
  <c r="E488"/>
  <c r="F488"/>
  <c r="G488"/>
  <c r="H488"/>
  <c r="D489"/>
  <c r="E489"/>
  <c r="F489"/>
  <c r="G489"/>
  <c r="H489"/>
  <c r="D490"/>
  <c r="E490"/>
  <c r="F490"/>
  <c r="G490"/>
  <c r="H490"/>
  <c r="D491"/>
  <c r="E491"/>
  <c r="F491"/>
  <c r="G491"/>
  <c r="H491"/>
  <c r="D492"/>
  <c r="E492"/>
  <c r="F492"/>
  <c r="G492"/>
  <c r="H492"/>
  <c r="D493"/>
  <c r="E493"/>
  <c r="F493"/>
  <c r="G493"/>
  <c r="H493"/>
  <c r="D494"/>
  <c r="E494"/>
  <c r="F494"/>
  <c r="G494"/>
  <c r="H494"/>
  <c r="D495"/>
  <c r="E495"/>
  <c r="F495"/>
  <c r="G495"/>
  <c r="H495"/>
  <c r="D496"/>
  <c r="E496"/>
  <c r="F496"/>
  <c r="G496"/>
  <c r="H496"/>
  <c r="D497"/>
  <c r="E497"/>
  <c r="F497"/>
  <c r="G497"/>
  <c r="H497"/>
  <c r="D498"/>
  <c r="E498"/>
  <c r="F498"/>
  <c r="G498"/>
  <c r="H498"/>
  <c r="D499"/>
  <c r="E499"/>
  <c r="F499"/>
  <c r="G499"/>
  <c r="H499"/>
  <c r="D500"/>
  <c r="E500"/>
  <c r="F500"/>
  <c r="G500"/>
  <c r="H500"/>
  <c r="D501"/>
  <c r="E501"/>
  <c r="F501"/>
  <c r="G501"/>
  <c r="H501"/>
  <c r="D502"/>
  <c r="E502"/>
  <c r="F502"/>
  <c r="G502"/>
  <c r="H502"/>
  <c r="D503"/>
  <c r="E503"/>
  <c r="F503"/>
  <c r="G503"/>
  <c r="H503"/>
  <c r="D504"/>
  <c r="E504"/>
  <c r="F504"/>
  <c r="G504"/>
  <c r="H504"/>
  <c r="D505"/>
  <c r="E505"/>
  <c r="F505"/>
  <c r="G505"/>
  <c r="H505"/>
  <c r="D506"/>
  <c r="E506"/>
  <c r="F506"/>
  <c r="G506"/>
  <c r="H506"/>
  <c r="D507"/>
  <c r="E507"/>
  <c r="F507"/>
  <c r="G507"/>
  <c r="H507"/>
  <c r="D508"/>
  <c r="E508"/>
  <c r="F508"/>
  <c r="G508"/>
  <c r="H508"/>
  <c r="D509"/>
  <c r="E509"/>
  <c r="F509"/>
  <c r="G509"/>
  <c r="H509"/>
  <c r="D510"/>
  <c r="E510"/>
  <c r="F510"/>
  <c r="G510"/>
  <c r="H510"/>
  <c r="D511"/>
  <c r="E511"/>
  <c r="F511"/>
  <c r="G511"/>
  <c r="H511"/>
  <c r="D512"/>
  <c r="E512"/>
  <c r="F512"/>
  <c r="G512"/>
  <c r="H512"/>
  <c r="D513"/>
  <c r="E513"/>
  <c r="F513"/>
  <c r="G513"/>
  <c r="H513"/>
  <c r="D514"/>
  <c r="E514"/>
  <c r="F514"/>
  <c r="G514"/>
  <c r="H514"/>
  <c r="D515"/>
  <c r="E515"/>
  <c r="F515"/>
  <c r="G515"/>
  <c r="H515"/>
  <c r="D516"/>
  <c r="E516"/>
  <c r="F516"/>
  <c r="G516"/>
  <c r="H516"/>
  <c r="D517"/>
  <c r="E517"/>
  <c r="F517"/>
  <c r="G517"/>
  <c r="H517"/>
  <c r="D518"/>
  <c r="E518"/>
  <c r="F518"/>
  <c r="G518"/>
  <c r="H518"/>
  <c r="D519"/>
  <c r="E519"/>
  <c r="F519"/>
  <c r="G519"/>
  <c r="H519"/>
  <c r="D520"/>
  <c r="E520"/>
  <c r="F520"/>
  <c r="G520"/>
  <c r="H520"/>
  <c r="D521"/>
  <c r="E521"/>
  <c r="F521"/>
  <c r="G521"/>
  <c r="H521"/>
  <c r="D522"/>
  <c r="E522"/>
  <c r="F522"/>
  <c r="G522"/>
  <c r="H522"/>
  <c r="D523"/>
  <c r="E523"/>
  <c r="F523"/>
  <c r="G523"/>
  <c r="H523"/>
  <c r="D524"/>
  <c r="E524"/>
  <c r="F524"/>
  <c r="G524"/>
  <c r="H524"/>
  <c r="D525"/>
  <c r="E525"/>
  <c r="F525"/>
  <c r="G525"/>
  <c r="H525"/>
  <c r="D526"/>
  <c r="E526"/>
  <c r="F526"/>
  <c r="G526"/>
  <c r="H526"/>
  <c r="D527"/>
  <c r="E527"/>
  <c r="F527"/>
  <c r="G527"/>
  <c r="H527"/>
  <c r="D528"/>
  <c r="E528"/>
  <c r="F528"/>
  <c r="G528"/>
  <c r="H528"/>
  <c r="D529"/>
  <c r="E529"/>
  <c r="F529"/>
  <c r="G529"/>
  <c r="H529"/>
  <c r="D530"/>
  <c r="E530"/>
  <c r="F530"/>
  <c r="G530"/>
  <c r="H530"/>
  <c r="D531"/>
  <c r="E531"/>
  <c r="F531"/>
  <c r="G531"/>
  <c r="H531"/>
  <c r="D532"/>
  <c r="E532"/>
  <c r="F532"/>
  <c r="G532"/>
  <c r="H532"/>
  <c r="D533"/>
  <c r="E533"/>
  <c r="F533"/>
  <c r="G533"/>
  <c r="H533"/>
  <c r="D534"/>
  <c r="E534"/>
  <c r="F534"/>
  <c r="G534"/>
  <c r="H534"/>
  <c r="D535"/>
  <c r="E535"/>
  <c r="F535"/>
  <c r="G535"/>
  <c r="H535"/>
  <c r="D536"/>
  <c r="E536"/>
  <c r="F536"/>
  <c r="G536"/>
  <c r="H536"/>
  <c r="D537"/>
  <c r="E537"/>
  <c r="F537"/>
  <c r="G537"/>
  <c r="H537"/>
  <c r="D538"/>
  <c r="E538"/>
  <c r="F538"/>
  <c r="G538"/>
  <c r="H538"/>
  <c r="D539"/>
  <c r="E539"/>
  <c r="F539"/>
  <c r="G539"/>
  <c r="H539"/>
  <c r="D540"/>
  <c r="E540"/>
  <c r="F540"/>
  <c r="G540"/>
  <c r="H540"/>
  <c r="D541"/>
  <c r="E541"/>
  <c r="F541"/>
  <c r="G541"/>
  <c r="H541"/>
  <c r="D542"/>
  <c r="E542"/>
  <c r="F542"/>
  <c r="G542"/>
  <c r="H542"/>
  <c r="D543"/>
  <c r="E543"/>
  <c r="F543"/>
  <c r="G543"/>
  <c r="H543"/>
  <c r="D544"/>
  <c r="E544"/>
  <c r="F544"/>
  <c r="G544"/>
  <c r="H544"/>
  <c r="D545"/>
  <c r="E545"/>
  <c r="F545"/>
  <c r="G545"/>
  <c r="H545"/>
  <c r="D546"/>
  <c r="E546"/>
  <c r="F546"/>
  <c r="G546"/>
  <c r="H546"/>
  <c r="D547"/>
  <c r="E547"/>
  <c r="F547"/>
  <c r="G547"/>
  <c r="H547"/>
  <c r="D548"/>
  <c r="E548"/>
  <c r="F548"/>
  <c r="G548"/>
  <c r="H548"/>
  <c r="D549"/>
  <c r="E549"/>
  <c r="F549"/>
  <c r="G549"/>
  <c r="H549"/>
  <c r="D550"/>
  <c r="E550"/>
  <c r="F550"/>
  <c r="G550"/>
  <c r="H550"/>
  <c r="D551"/>
  <c r="E551"/>
  <c r="F551"/>
  <c r="G551"/>
  <c r="H551"/>
  <c r="D552"/>
  <c r="E552"/>
  <c r="F552"/>
  <c r="G552"/>
  <c r="H552"/>
  <c r="D553"/>
  <c r="E553"/>
  <c r="F553"/>
  <c r="G553"/>
  <c r="H553"/>
  <c r="D554"/>
  <c r="E554"/>
  <c r="F554"/>
  <c r="G554"/>
  <c r="H554"/>
  <c r="D555"/>
  <c r="E555"/>
  <c r="F555"/>
  <c r="G555"/>
  <c r="H555"/>
  <c r="D556"/>
  <c r="E556"/>
  <c r="F556"/>
  <c r="G556"/>
  <c r="H556"/>
  <c r="D557"/>
  <c r="E557"/>
  <c r="F557"/>
  <c r="G557"/>
  <c r="H557"/>
  <c r="D558"/>
  <c r="E558"/>
  <c r="F558"/>
  <c r="G558"/>
  <c r="H558"/>
  <c r="D559"/>
  <c r="E559"/>
  <c r="F559"/>
  <c r="G559"/>
  <c r="H559"/>
  <c r="D560"/>
  <c r="E560"/>
  <c r="F560"/>
  <c r="G560"/>
  <c r="H560"/>
  <c r="D561"/>
  <c r="E561"/>
  <c r="F561"/>
  <c r="G561"/>
  <c r="H561"/>
  <c r="D562"/>
  <c r="E562"/>
  <c r="F562"/>
  <c r="G562"/>
  <c r="H562"/>
  <c r="D563"/>
  <c r="E563"/>
  <c r="F563"/>
  <c r="G563"/>
  <c r="H563"/>
  <c r="D564"/>
  <c r="E564"/>
  <c r="F564"/>
  <c r="G564"/>
  <c r="H564"/>
  <c r="D565"/>
  <c r="E565"/>
  <c r="F565"/>
  <c r="G565"/>
  <c r="H565"/>
  <c r="D566"/>
  <c r="E566"/>
  <c r="F566"/>
  <c r="G566"/>
  <c r="H566"/>
  <c r="D567"/>
  <c r="E567"/>
  <c r="F567"/>
  <c r="G567"/>
  <c r="H567"/>
  <c r="D568"/>
  <c r="E568"/>
  <c r="F568"/>
  <c r="G568"/>
  <c r="H568"/>
  <c r="D569"/>
  <c r="E569"/>
  <c r="F569"/>
  <c r="G569"/>
  <c r="H569"/>
  <c r="D570"/>
  <c r="E570"/>
  <c r="F570"/>
  <c r="G570"/>
  <c r="H570"/>
  <c r="D571"/>
  <c r="E571"/>
  <c r="F571"/>
  <c r="G571"/>
  <c r="H571"/>
  <c r="D572"/>
  <c r="E572"/>
  <c r="F572"/>
  <c r="G572"/>
  <c r="H572"/>
  <c r="D573"/>
  <c r="E573"/>
  <c r="F573"/>
  <c r="G573"/>
  <c r="H573"/>
  <c r="D574"/>
  <c r="E574"/>
  <c r="F574"/>
  <c r="G574"/>
  <c r="H574"/>
  <c r="D575"/>
  <c r="E575"/>
  <c r="F575"/>
  <c r="G575"/>
  <c r="H575"/>
  <c r="D576"/>
  <c r="E576"/>
  <c r="F576"/>
  <c r="G576"/>
  <c r="H576"/>
  <c r="D577"/>
  <c r="E577"/>
  <c r="F577"/>
  <c r="G577"/>
  <c r="H577"/>
  <c r="D578"/>
  <c r="E578"/>
  <c r="F578"/>
  <c r="G578"/>
  <c r="H578"/>
  <c r="D579"/>
  <c r="E579"/>
  <c r="F579"/>
  <c r="G579"/>
  <c r="H579"/>
  <c r="D580"/>
  <c r="E580"/>
  <c r="F580"/>
  <c r="G580"/>
  <c r="H580"/>
  <c r="D581"/>
  <c r="E581"/>
  <c r="F581"/>
  <c r="G581"/>
  <c r="H581"/>
  <c r="D582"/>
  <c r="E582"/>
  <c r="F582"/>
  <c r="G582"/>
  <c r="H582"/>
  <c r="D583"/>
  <c r="E583"/>
  <c r="F583"/>
  <c r="G583"/>
  <c r="H583"/>
  <c r="D584"/>
  <c r="E584"/>
  <c r="F584"/>
  <c r="G584"/>
  <c r="H584"/>
  <c r="D585"/>
  <c r="E585"/>
  <c r="F585"/>
  <c r="G585"/>
  <c r="H585"/>
  <c r="D586"/>
  <c r="E586"/>
  <c r="F586"/>
  <c r="G586"/>
  <c r="H586"/>
  <c r="D587"/>
  <c r="E587"/>
  <c r="F587"/>
  <c r="G587"/>
  <c r="H587"/>
  <c r="D588"/>
  <c r="E588"/>
  <c r="F588"/>
  <c r="G588"/>
  <c r="H588"/>
  <c r="D589"/>
  <c r="E589"/>
  <c r="F589"/>
  <c r="G589"/>
  <c r="H589"/>
  <c r="D590"/>
  <c r="E590"/>
  <c r="F590"/>
  <c r="G590"/>
  <c r="H590"/>
  <c r="D591"/>
  <c r="E591"/>
  <c r="F591"/>
  <c r="G591"/>
  <c r="H591"/>
  <c r="D592"/>
  <c r="E592"/>
  <c r="F592"/>
  <c r="G592"/>
  <c r="H592"/>
  <c r="D593"/>
  <c r="E593"/>
  <c r="F593"/>
  <c r="G593"/>
  <c r="H593"/>
  <c r="D594"/>
  <c r="E594"/>
  <c r="F594"/>
  <c r="G594"/>
  <c r="H594"/>
  <c r="D595"/>
  <c r="E595"/>
  <c r="F595"/>
  <c r="G595"/>
  <c r="H595"/>
  <c r="D596"/>
  <c r="E596"/>
  <c r="F596"/>
  <c r="G596"/>
  <c r="H596"/>
  <c r="D597"/>
  <c r="E597"/>
  <c r="F597"/>
  <c r="G597"/>
  <c r="H597"/>
  <c r="D598"/>
  <c r="E598"/>
  <c r="F598"/>
  <c r="G598"/>
  <c r="H598"/>
  <c r="D599"/>
  <c r="E599"/>
  <c r="F599"/>
  <c r="G599"/>
  <c r="H599"/>
  <c r="D600"/>
  <c r="E600"/>
  <c r="F600"/>
  <c r="G600"/>
  <c r="H600"/>
  <c r="D601"/>
  <c r="E601"/>
  <c r="F601"/>
  <c r="G601"/>
  <c r="H601"/>
  <c r="D602"/>
  <c r="E602"/>
  <c r="F602"/>
  <c r="G602"/>
  <c r="H602"/>
  <c r="D603"/>
  <c r="E603"/>
  <c r="F603"/>
  <c r="G603"/>
  <c r="H603"/>
  <c r="D604"/>
  <c r="E604"/>
  <c r="F604"/>
  <c r="G604"/>
  <c r="H604"/>
  <c r="D605"/>
  <c r="E605"/>
  <c r="F605"/>
  <c r="G605"/>
  <c r="H605"/>
  <c r="D606"/>
  <c r="E606"/>
  <c r="F606"/>
  <c r="G606"/>
  <c r="H606"/>
  <c r="D607"/>
  <c r="E607"/>
  <c r="F607"/>
  <c r="G607"/>
  <c r="H607"/>
  <c r="D608"/>
  <c r="E608"/>
  <c r="F608"/>
  <c r="G608"/>
  <c r="H608"/>
  <c r="D609"/>
  <c r="E609"/>
  <c r="F609"/>
  <c r="G609"/>
  <c r="H609"/>
  <c r="D610"/>
  <c r="E610"/>
  <c r="F610"/>
  <c r="G610"/>
  <c r="H610"/>
  <c r="D611"/>
  <c r="E611"/>
  <c r="F611"/>
  <c r="G611"/>
  <c r="H611"/>
  <c r="D612"/>
  <c r="E612"/>
  <c r="F612"/>
  <c r="G612"/>
  <c r="H612"/>
  <c r="D613"/>
  <c r="E613"/>
  <c r="F613"/>
  <c r="G613"/>
  <c r="H613"/>
  <c r="D614"/>
  <c r="E614"/>
  <c r="F614"/>
  <c r="G614"/>
  <c r="H614"/>
  <c r="D615"/>
  <c r="E615"/>
  <c r="F615"/>
  <c r="G615"/>
  <c r="H615"/>
  <c r="D616"/>
  <c r="E616"/>
  <c r="F616"/>
  <c r="G616"/>
  <c r="H616"/>
  <c r="D617"/>
  <c r="E617"/>
  <c r="F617"/>
  <c r="G617"/>
  <c r="H617"/>
  <c r="D618"/>
  <c r="E618"/>
  <c r="F618"/>
  <c r="G618"/>
  <c r="H618"/>
</calcChain>
</file>

<file path=xl/sharedStrings.xml><?xml version="1.0" encoding="utf-8"?>
<sst xmlns="http://schemas.openxmlformats.org/spreadsheetml/2006/main" count="2421" uniqueCount="1223">
  <si>
    <t>NAME_PARTS</t>
  </si>
  <si>
    <t>TTC_SUP_ID</t>
  </si>
  <si>
    <t>BRAND</t>
  </si>
  <si>
    <t>CODE_PART</t>
  </si>
  <si>
    <t>CODE_PARTS_ADVANCED</t>
  </si>
  <si>
    <t>CODE_PARTS_USERNUMBER</t>
  </si>
  <si>
    <t>EAN</t>
  </si>
  <si>
    <t>STATUSPRODUCT</t>
  </si>
  <si>
    <t>TTC_ART_ID</t>
  </si>
  <si>
    <t>ADDITIONAL_DATA</t>
  </si>
  <si>
    <t>ART_CROSS</t>
  </si>
  <si>
    <t>Repair Kit, link</t>
  </si>
  <si>
    <t>SIDEM</t>
  </si>
  <si>
    <t>Wheel Stud</t>
  </si>
  <si>
    <t>Fitting Position &gt;&gt; Front Axle | Length [mm] &gt;&gt; 76 | Overall Length [mm] &gt;&gt; 84 | DIN / ISO &gt;&gt; SAE4140 | Thread Measurement 1 &gt;&gt; MM22x2R</t>
  </si>
  <si>
    <t>DAF &gt;&gt; 0190203</t>
  </si>
  <si>
    <t>LEMFORDER &gt;&gt; 2088301 | FEBI BILSTEIN &gt;&gt; 17418 | MOOG &gt;&gt; DFES5763 | TRW &gt;&gt; JRK0012</t>
  </si>
  <si>
    <t>IVECO &gt;&gt; 42535204 | LEMFORDER &gt;&gt; 1847101 | FEBI BILSTEIN &gt;&gt; 03497 | MOOG &gt;&gt; IVRK8998 | TRW &gt;&gt; JRK0017</t>
  </si>
  <si>
    <t>Fitting Position &gt;&gt; Rear Axle | Fitting Position &gt;&gt; Front Axle | Overall Length [mm] &gt;&gt; 122 | DIN / ISO &gt;&gt; SAE4140 | Thread Measurement 1 &gt;&gt; MM22x2R</t>
  </si>
  <si>
    <t>DAF &gt;&gt; 0259931 | DAF &gt;&gt; 259931 | FEBI BILSTEIN &gt;&gt; 05787</t>
  </si>
  <si>
    <t>Fitting Position &gt;&gt; Rear Axle | Fitting Position &gt;&gt; Front Axle | Length [mm] &gt;&gt; 94 | Overall Length [mm] &gt;&gt; 102 | DIN / ISO &gt;&gt; SAE4140 | Thread Measurement 1 &gt;&gt; MM22x2R</t>
  </si>
  <si>
    <t>DAF &gt;&gt; 0260259</t>
  </si>
  <si>
    <t>Wheel Nut</t>
  </si>
  <si>
    <t>Fitting Position &gt;&gt; Rear Axle | Fitting Position &gt;&gt; Front Axle | Thread Size &gt;&gt; M22X2R | Overall Length [mm] &gt;&gt; 18 | Spanner Size &gt;&gt; 38 | DIN / ISO &gt;&gt; SAE4140</t>
  </si>
  <si>
    <t>DAF &gt;&gt; 0191649 | FEBI BILSTEIN &gt;&gt; 08451</t>
  </si>
  <si>
    <t>Retaining Ring, wheel rim</t>
  </si>
  <si>
    <t>Fitting Position &gt;&gt; Rear Axle | Fitting Position &gt;&gt; Front Axle | Overall Length [mm] &gt;&gt; 8 | Inner Diameter [mm] &gt;&gt; 22,5 | Outer Diameter [mm] &gt;&gt; 34 | DIN / ISO &gt;&gt; DIN74361C</t>
  </si>
  <si>
    <t>DAF &gt;&gt; 0325235 | BPW &gt;&gt; 0256152290 | FEBI BILSTEIN &gt;&gt; 01245 | SWAG &gt;&gt; 99901245</t>
  </si>
  <si>
    <t>Spring Bolt</t>
  </si>
  <si>
    <t>Bush, leaf spring</t>
  </si>
  <si>
    <t>Fitting Position &gt;&gt; Left | Fitting Position &gt;&gt; Right | Diameter 1 [mm] &gt;&gt; 25 | Diameter 2 [mm] &gt;&gt; 32 | Overall Length [mm] &gt;&gt; 80 | Inner Diameter [mm] &gt;&gt; 25 | Outer Diameter [mm] &gt;&gt; 32 | DIN / ISO &gt;&gt; DIN7168m</t>
  </si>
  <si>
    <t>DAF &gt;&gt; 0637023 | DAF &gt;&gt; 0645245 | FEBI BILSTEIN &gt;&gt; 06351</t>
  </si>
  <si>
    <t>Fitting Position &gt;&gt; Left | Fitting Position &gt;&gt; Right | Diameter 1 [mm] &gt;&gt; 35 | Diameter 2 [mm] &gt;&gt; 42 | Overall Length [mm] &gt;&gt; 97,75 | Inner Diameter [mm] &gt;&gt; 35 | Outer Diameter [mm] &gt;&gt; 42</t>
  </si>
  <si>
    <t>DAF &gt;&gt; 0631075 | DAF &gt;&gt; 0643384 | DAF &gt;&gt; 0659666 | FEBI BILSTEIN &gt;&gt; 06352</t>
  </si>
  <si>
    <t>Stub Axle Pins</t>
  </si>
  <si>
    <t>Fitting Position &gt;&gt; Rear Axle | Fitting Position &gt;&gt; Front Axle | Length [mm] &gt;&gt; 254 | Diameter 1 [mm] &gt;&gt; 31,5 | Diameter 2 [mm] &gt;&gt; 50</t>
  </si>
  <si>
    <t>DAF &gt;&gt; 0683499WOB</t>
  </si>
  <si>
    <t>Repair Kit, wheel suspension</t>
  </si>
  <si>
    <t>Equipment Variant &gt;&gt; 17001</t>
  </si>
  <si>
    <t>Fitting Position &gt;&gt; Front Axle | Length [mm] &gt;&gt; 109 | Diameter 2 [mm] &gt;&gt; 50</t>
  </si>
  <si>
    <t>MAN &gt;&gt; 81363056004 | FEBI BILSTEIN &gt;&gt; 11191</t>
  </si>
  <si>
    <t>Fitting Position &gt;&gt; Rear Axle | Fitting Position &gt;&gt; Front Axle | Length [mm] &gt;&gt; 115 | Diameter 2 [mm] &gt;&gt; 22,05 | Overall Length [mm] &gt;&gt; 125,5 | Thread Measurement 1 &gt;&gt; MM22x1.5R</t>
  </si>
  <si>
    <t>MERCEDES-BENZ &gt;&gt; 3814010871 | LEMFORDER &gt;&gt; 1882401 | FEBI BILSTEIN &gt;&gt; 03961 | FEBI BILSTEIN &gt;&gt; 12874 | SWAG &gt;&gt; 99903961</t>
  </si>
  <si>
    <t>Fitting Position &gt;&gt; Rear Axle | Fitting Position &gt;&gt; Front Axle | Length [mm] &gt;&gt; 80 | Diameter 2 [mm] &gt;&gt; 22,05 | Overall Length [mm] &gt;&gt; 90,5 | Thread Measurement 1 &gt;&gt; MM22x1.5R</t>
  </si>
  <si>
    <t>MERCEDES-BENZ &gt;&gt; 3894010071 | LEMFORDER &gt;&gt; 1291401 | FEBI BILSTEIN &gt;&gt; 12868 | FEBI BILSTEIN &gt;&gt; 07938 | FEBI BILSTEIN &gt;&gt; 03997</t>
  </si>
  <si>
    <t>Fitting Position &gt;&gt; Rear Axle | Fitting Position &gt;&gt; Front Axle | Length [mm] &gt;&gt; 77 | Diameter 2 [mm] &gt;&gt; 22,05 | Overall Length [mm] &gt;&gt; 87,5 | Thread Measurement 1 &gt;&gt; MM22x1.5R</t>
  </si>
  <si>
    <t>MERCEDES-BENZ &gt;&gt; 3814010171 | MERCEDES-BENZ &gt;&gt; 3764010071 | LEMFORDER &gt;&gt; 1291401 | FEBI BILSTEIN &gt;&gt; 03997</t>
  </si>
  <si>
    <t>Fitting Position &gt;&gt; Front Axle | Length [mm] &gt;&gt; 224 | Diameter 2 [mm] &gt;&gt; 45</t>
  </si>
  <si>
    <t>MERCEDES-BENZ &gt;&gt; 3265860033 | MERCEDES-BENZ &gt;&gt; 3263300219 | LEMFORDER &gt;&gt; 1880701 | FEBI BILSTEIN &gt;&gt; 04332</t>
  </si>
  <si>
    <t>Fitting Position &gt;&gt; Rear Axle | Fitting Position &gt;&gt; Front Axle | Length [mm] &gt;&gt; 74 | Diameter 1 [mm] &gt;&gt; 22,5 | Diameter 2 [mm] &gt;&gt; 36 | Overall Length [mm] &gt;&gt; 86 | DIN / ISO &gt;&gt; SAE4140 | Thread Measurement 1 &gt;&gt; 7/8`x11BSF LHT</t>
  </si>
  <si>
    <t>SCANIA &gt;&gt; 123249 | FEBI BILSTEIN &gt;&gt; 03842</t>
  </si>
  <si>
    <t>Fitting Position &gt;&gt; Rear Axle | Fitting Position &gt;&gt; Front Axle | Length [mm] &gt;&gt; 90 | Diameter 1 [mm] &gt;&gt; 22,5 | Diameter 2 [mm] &gt;&gt; 36 | Overall Length [mm] &gt;&gt; 102 | DIN / ISO &gt;&gt; SAE4140 | Thread Measurement 1 &gt;&gt; 7/8`x11BSF LHT</t>
  </si>
  <si>
    <t>SCANIA &gt;&gt; 132601 | LEMFORDER &gt;&gt; 19509 | FEBI BILSTEIN &gt;&gt; 03844</t>
  </si>
  <si>
    <t>Fitting Position &gt;&gt; Rear Axle | Fitting Position &gt;&gt; Front Axle | Thread Size &gt;&gt; 7/8`x11BSF RHT | Overall Length [mm] &gt;&gt; 16 | Spanner Size &gt;&gt; 33 | DIN / ISO &gt;&gt; SAE4140</t>
  </si>
  <si>
    <t>SCANIA &gt;&gt; 121306 | FEBI BILSTEIN &gt;&gt; 03851</t>
  </si>
  <si>
    <t>Fitting Position &gt;&gt; Rear Axle | Fitting Position &gt;&gt; Front Axle | Thread Size &gt;&gt; 7/8`x11BSF LHT | Overall Length [mm] &gt;&gt; 16 | Spanner Size &gt;&gt; 33 | DIN / ISO &gt;&gt; SAE4140</t>
  </si>
  <si>
    <t>SCANIA &gt;&gt; 121305 | FEBI BILSTEIN &gt;&gt; 03850</t>
  </si>
  <si>
    <t>Spring Clamp Nut</t>
  </si>
  <si>
    <t>Fitting Position &gt;&gt; Rear Axle | Fitting Position &gt;&gt; Front Axle | Thread Size &gt;&gt; M22x2.5R | Overall Length [mm] &gt;&gt; 65 | Spanner Size &gt;&gt; 32 | DIN / ISO &gt;&gt; SAE4140</t>
  </si>
  <si>
    <t>SCANIA &gt;&gt; 137831 | SCANIA &gt;&gt; 1388823 | SCANIA &gt;&gt; 265768 | FEBI BILSTEIN &gt;&gt; 02187 | FEBI BILSTEIN &gt;&gt; 17417</t>
  </si>
  <si>
    <t>Tie Rod Tube</t>
  </si>
  <si>
    <t>Fitting Position &gt;&gt; Front Axle | Length [mm] &gt;&gt; 100</t>
  </si>
  <si>
    <t>DAF &gt;&gt; 1152351 | DAF &gt;&gt; 1394801 | IVECO &gt;&gt; 42538383 | IVECO &gt;&gt; 93194578 | MAN &gt;&gt; 81467100123 | MERCEDES-BENZ &gt;&gt; 0009922139 | MERCEDES-BENZ &gt;&gt; 0003380250 | MERCEDES-BENZ &gt;&gt; 0009922039 | SCANIA &gt;&gt; 1426493 | SCANIA &gt;&gt; 1379192 | SCANIA &gt;&gt; 1897337 | SCANIA &gt;&gt; 1738376 | VOLVO &gt;&gt; 3092548 | VOLVO &gt;&gt; 21264203 | VOLVO &gt;&gt; 20937675 | RENAULT TRUCKS &gt;&gt; 5001853151 | RENAULT TRUCKS &gt;&gt; 7421264203 | RENAULT TRUCKS &gt;&gt; 5001872606 | LEMFORDER &gt;&gt; 2197101 | TRW &gt;&gt; JSA5001</t>
  </si>
  <si>
    <t>Repair Kit, spring bolt</t>
  </si>
  <si>
    <t>Fitting Position &gt;&gt; Rear Axle | Overall Length [mm] &gt;&gt; 172 | Thread Measurement 1 &gt;&gt; M36x4</t>
  </si>
  <si>
    <t>SCANIA &gt;&gt; 355149S</t>
  </si>
  <si>
    <t>Fitting Position &gt;&gt; Front Axle | Length [mm] &gt;&gt; 243 | Diameter 1 [mm] &gt;&gt; 45 | Diameter 2 [mm] &gt;&gt; 57</t>
  </si>
  <si>
    <t>SCANIA &gt;&gt; 550731 | LEMFORDER &gt;&gt; 2573410 | LEMFORDER &gt;&gt; 2573401 | FEBI BILSTEIN &gt;&gt; 09941 | MEYLE &gt;&gt; 8345500007</t>
  </si>
  <si>
    <t>SCANIA &gt;&gt; 550257 | LEMFORDER &gt;&gt; 2573901 | FEBI BILSTEIN &gt;&gt; 09937 | MEYLE &gt;&gt; 8345500001</t>
  </si>
  <si>
    <t>SCANIA &gt;&gt; 550284 | LEMFORDER &gt;&gt; 2573801 | FEBI BILSTEIN &gt;&gt; 18430 | MEYLE &gt;&gt; 8345500005</t>
  </si>
  <si>
    <t>Fitting Position &gt;&gt; Left | Fitting Position &gt;&gt; Right | Thread Size &gt;&gt; M20x1.5R | Overall Length [mm] &gt;&gt; 22 | Spanner Size &gt;&gt; 27</t>
  </si>
  <si>
    <t>MERCEDES-BENZ &gt;&gt; PARTOF</t>
  </si>
  <si>
    <t>RUVILLE &gt;&gt; 966307 | LEMFORDER &gt;&gt; 1139801 | FEBI BILSTEIN &gt;&gt; 05297 | MOOG &gt;&gt; CVRK8118 | MEYLE &gt;&gt; 0340580017 | TRW &gt;&gt; JRK0001</t>
  </si>
  <si>
    <t>Fitting Position &gt;&gt; Front Axle | Overall Length [mm] &gt;&gt; 245 | Thread Measurement 1 &gt;&gt; M30</t>
  </si>
  <si>
    <t>SCANIA &gt;&gt; 255315S</t>
  </si>
  <si>
    <t>SCANIA &gt;&gt; 1362710 | FEBI BILSTEIN &gt;&gt; 05926 | MEYLE &gt;&gt; 8340320008</t>
  </si>
  <si>
    <t>Fitting Position &gt;&gt; Left | Fitting Position &gt;&gt; Right | Overall Length [mm] &gt;&gt; 168 | Spanner Size &gt;&gt; 30 | Thread Measurement 1 &gt;&gt; M20X2.5</t>
  </si>
  <si>
    <t>VOLVO &gt;&gt; 6781560</t>
  </si>
  <si>
    <t>Fitting Position &gt;&gt; Left | Fitting Position &gt;&gt; Right | Overall Length [mm] &gt;&gt; 173 | Spanner Size &gt;&gt; 30 | DIN / ISO &gt;&gt; SAE4140 | Thread Measurement 1 &gt;&gt; M20x2.5</t>
  </si>
  <si>
    <t>VOLVO &gt;&gt; 963348</t>
  </si>
  <si>
    <t>Fitting Position &gt;&gt; Rear Axle | Diameter 1 [mm] &gt;&gt; 25 | Diameter 2 [mm] &gt;&gt; 45,5 | Overall Length [mm] &gt;&gt; 170</t>
  </si>
  <si>
    <t>VOLVO &gt;&gt; 6772290 | FEBI BILSTEIN &gt;&gt; 04476</t>
  </si>
  <si>
    <t>Fitting Position &gt;&gt; Left | Fitting Position &gt;&gt; Right | Overall Length [mm] &gt;&gt; 161 | Spanner Size &gt;&gt; 30 | Thread Measurement 1 &gt;&gt; M20X2.5</t>
  </si>
  <si>
    <t>VOLVO &gt;&gt; 6782622</t>
  </si>
  <si>
    <t>Washer</t>
  </si>
  <si>
    <t>Fitting Position &gt;&gt; Left | Fitting Position &gt;&gt; Right | Diameter 1 [mm] &gt;&gt; 25 | Diameter 2 [mm] &gt;&gt; 44 | Overall Length [mm] &gt;&gt; 6</t>
  </si>
  <si>
    <t>VOLVO &gt;&gt; 1628396</t>
  </si>
  <si>
    <t>Fitting Position &gt;&gt; Left | Fitting Position &gt;&gt; Right | Length [mm] &gt;&gt; 236 | Diameter 2 [mm] &gt;&gt; 50</t>
  </si>
  <si>
    <t>RENAULT TRUCKS &gt;&gt; 5010216742 | RENAULT TRUCKS &gt;&gt; 5010216742S1 | RENAULT TRUCKS &gt;&gt; 5010630993 | RENAULT TRUCKS &gt;&gt; 5010630993S1 | FEBI BILSTEIN &gt;&gt; 28399</t>
  </si>
  <si>
    <t>Fitting Position &gt;&gt; Rear Axle | Fitting Position &gt;&gt; Front Axle | Diameter 1 [mm] &gt;&gt; 20 | Diameter 2 [mm] &gt;&gt; 25,4 | Overall Length [mm] &gt;&gt; 125 | DIN / ISO &gt;&gt; SAE4140 | Thread Measurement 1 &gt;&gt; 3/4`x16UNF</t>
  </si>
  <si>
    <t>VOLVO &gt;&gt; 192121 | LEMFORDER &gt;&gt; 19544 | FEBI BILSTEIN &gt;&gt; 04908</t>
  </si>
  <si>
    <t>Fitting Position &gt;&gt; Rear Axle | Fitting Position &gt;&gt; Front Axle | Thread Size &gt;&gt; 3/4`x16UNF | Overall Length [mm] &gt;&gt; 34 | Spanner Size &gt;&gt; 30 | DIN / ISO &gt;&gt; SAE4140</t>
  </si>
  <si>
    <t>VOLVO &gt;&gt; 21668 | LEMFORDER &gt;&gt; 2166801 | FEBI BILSTEIN &gt;&gt; 02796 | TRW &gt;&gt; JRR0140</t>
  </si>
  <si>
    <t>Fitting Position &gt;&gt; Rear Axle | Fitting Position &gt;&gt; Front Axle | Thread Size &gt;&gt; 3/4`x16UNF | Overall Length [mm] &gt;&gt; 19 | Spanner Size &gt;&gt; 28 | DIN / ISO &gt;&gt; SAE4140</t>
  </si>
  <si>
    <t>VOLVO &gt;&gt; 192413</t>
  </si>
  <si>
    <t>Fitting Position &gt;&gt; Rear Axle | Fitting Position &gt;&gt; Front Axle | Diameter 1 [mm] &gt;&gt; 20 | Diameter 2 [mm] &gt;&gt; 34 | Overall Length [mm] &gt;&gt; 3</t>
  </si>
  <si>
    <t>VOLVO &gt;&gt; 192123</t>
  </si>
  <si>
    <t>Fitting Position &gt;&gt; Left | Fitting Position &gt;&gt; Right | Diameter 2 [mm] &gt;&gt; 51 | Overall Length [mm] &gt;&gt; 167</t>
  </si>
  <si>
    <t>VOLVO &gt;&gt; 343348 | TRW &gt;&gt; JGT408T</t>
  </si>
  <si>
    <t>RUVILLE &gt;&gt; 968502 | FEBI BILSTEIN &gt;&gt; 02963 | MOOG &gt;&gt; MNRK8678 | TRW &gt;&gt; JRK0005</t>
  </si>
  <si>
    <t>VOLVO &gt;&gt; 2760304</t>
  </si>
  <si>
    <t>Mounting Bush, stub axle</t>
  </si>
  <si>
    <t>Fitting Position &gt;&gt; Left | Fitting Position &gt;&gt; Right | Diameter 1 [mm] &gt;&gt; 38 | Diameter 2 [mm] &gt;&gt; 90 | Overall Length [mm] &gt;&gt; 35,5</t>
  </si>
  <si>
    <t>VOLVO &gt;&gt; 1588222 | FEBI BILSTEIN &gt;&gt; 09376</t>
  </si>
  <si>
    <t>FEBI BILSTEIN &gt;&gt; 04029 | MEYLE &gt;&gt; 0340400002 | SWAG &gt;&gt; 99904029</t>
  </si>
  <si>
    <t>RUVILLE &gt;&gt; 961500 | FEBI BILSTEIN &gt;&gt; 02964 | TRW &gt;&gt; JRK0003</t>
  </si>
  <si>
    <t>Springwasher</t>
  </si>
  <si>
    <t>Fitting Position &gt;&gt; Rear Axle | Fitting Position &gt;&gt; Front Axle | Overall Length [mm] &gt;&gt; 12 | Inner Diameter [mm] &gt;&gt; 14 | Outer Diameter [mm] &gt;&gt; 22</t>
  </si>
  <si>
    <t>VOLVO &gt;&gt; 1591045</t>
  </si>
  <si>
    <t>Fitting Position &gt;&gt; Rear Axle | Fitting Position &gt;&gt; Front Axle | Diameter 1 [mm] &gt;&gt; 23 | Diameter 2 [mm] &gt;&gt; 40 | Overall Length [mm] &gt;&gt; 3</t>
  </si>
  <si>
    <t>VOLVO &gt;&gt; 943403</t>
  </si>
  <si>
    <t>Nut</t>
  </si>
  <si>
    <t>Fitting Position &gt;&gt; Rear Axle | Fitting Position &gt;&gt; Front Axle | Thread Size &gt;&gt; M14x2 | Overall Length [mm] &gt;&gt; 14 | Spanner Size &gt;&gt; 22 | DIN / ISO &gt;&gt; DIN980</t>
  </si>
  <si>
    <t>VOLVO &gt;&gt; 971088 | VOLVO &gt;&gt; 947342 | RENAULT TRUCKS &gt;&gt; 7400971088 | FEBI BILSTEIN &gt;&gt; 11846</t>
  </si>
  <si>
    <t>Fitting Position &gt;&gt; Left | Fitting Position &gt;&gt; Right | Diameter 1 [mm] &gt;&gt; 32 | Diameter 2 [mm] &gt;&gt; 51 | Overall Length [mm] &gt;&gt; 178</t>
  </si>
  <si>
    <t>VOLVO &gt;&gt; 1501677 | FEBI BILSTEIN &gt;&gt; 04484</t>
  </si>
  <si>
    <t>Fitting Position &gt;&gt; Left | Fitting Position &gt;&gt; Right | Diameter 1 [mm] &gt;&gt; 25 | Diameter 2 [mm] &gt;&gt; 39 | Overall Length [mm] &gt;&gt; 5</t>
  </si>
  <si>
    <t>VOLVO &gt;&gt; 941916</t>
  </si>
  <si>
    <t>Fitting Position &gt;&gt; Left | Fitting Position &gt;&gt; Right | Diameter 1 [mm] &gt;&gt; 22 | Diameter 2 [mm] &gt;&gt; 25 | Overall Length [mm] &gt;&gt; 175 | Spanner Size &gt;&gt; 36 | DIN / ISO &gt;&gt; SAE8620 | Thread Measurement 1 &gt;&gt; M24x3</t>
  </si>
  <si>
    <t>VOLVO &gt;&gt; 1576943 | VOLVO &gt;&gt; 1598764 | FEBI BILSTEIN &gt;&gt; 11765</t>
  </si>
  <si>
    <t>Fitting Position &gt;&gt; Left | Fitting Position &gt;&gt; Right | Overall Length [mm] &gt;&gt; 175 | Thread Measurement 1 &gt;&gt; M24x3</t>
  </si>
  <si>
    <t>VOLVO &gt;&gt; 1576943S | VOLVO &gt;&gt; 1598764S</t>
  </si>
  <si>
    <t>Mounting, axle beam</t>
  </si>
  <si>
    <t>Fitting Position &gt;&gt; Rear Axle left and right | Overall Length [mm] &gt;&gt; 100 | Inner Diameter [mm] &gt;&gt; 12,3 | Outer Diameter [mm] &gt;&gt; 69 | Bearing Type &gt;&gt; Rubber Bush</t>
  </si>
  <si>
    <t>ALFA ROMEO &gt;&gt; 51804552</t>
  </si>
  <si>
    <t>Fitting Position &gt;&gt; Front Axle middle</t>
  </si>
  <si>
    <t>JEEP &gt;&gt; 52037536 | JEEP &gt;&gt; 52037536AC</t>
  </si>
  <si>
    <t>Brake Shoe Set</t>
  </si>
  <si>
    <t>LPR</t>
  </si>
  <si>
    <t>Supplementary Article/Supplementary Info 2 &gt;&gt; with handbrake lever | for article number &gt;&gt; 01131 | Width [mm] &gt;&gt; 42 | Diameter [mm] &gt;&gt; 228,6</t>
  </si>
  <si>
    <t>DACIA &gt;&gt; 440607493R | BOSCH &gt;&gt; 0986487774 | SAMKO &gt;&gt; 81131</t>
  </si>
  <si>
    <t>Supplementary Article/Supplementary Info 2 &gt;&gt; with handbrake lever | for article number &gt;&gt; 01144 | Diameter [mm] &gt;&gt; 203 | Width [mm] &gt;&gt; 31,5</t>
  </si>
  <si>
    <t>CHERY &gt;&gt; S213502080 | TRW &gt;&gt; GS7870 | SAMKO &gt;&gt; 81144</t>
  </si>
  <si>
    <t>Diameter [mm] &gt;&gt; 202,6 | Width [mm] &gt;&gt; 31,2 | for article number &gt;&gt; 01145 | Supplementary Article/Supplementary Info 2 &gt;&gt; with handbrake lever</t>
  </si>
  <si>
    <t>CHERY &gt;&gt; S216GN3502080 | TRW &gt;&gt; GS7869 | SAMKO &gt;&gt; 81145</t>
  </si>
  <si>
    <t>Width [mm] &gt;&gt; 102 | for article number &gt;&gt; 01165 | Diameter [mm] &gt;&gt; 320</t>
  </si>
  <si>
    <t>ISUZU &gt;&gt; 4106089TB5 | ISUZU &gt;&gt; 4106089TB7 | ISUZU &gt;&gt; 5871001950 | ISUZU &gt;&gt; 8972010610 | ISUZU &gt;&gt; 587100194 | ISUZU &gt;&gt; 89720106 | ISUZU &gt;&gt; 89709450 | ISUZU &gt;&gt; 4406089TA2 | ISUZU &gt;&gt; 587100171 | ISUZU &gt;&gt; 897063358 | ISUZU &gt;&gt; 587100419 | ISUZU &gt;&gt; 587831774 | TRUSTING &gt;&gt; 047380 | SAMKO &gt;&gt; 81165</t>
  </si>
  <si>
    <t>Diameter [mm] &gt;&gt; 185 | Width [mm] &gt;&gt; 30 | for article number &gt;&gt; 01166</t>
  </si>
  <si>
    <t>TRUSTING &gt;&gt; 049174 | SAMKO &gt;&gt; 81166</t>
  </si>
  <si>
    <t>Width [mm] &gt;&gt; 27 | for article number &gt;&gt; 01167 | Diameter [mm] &gt;&gt; 180</t>
  </si>
  <si>
    <t>KIA &gt;&gt; 583501YA00 | ATE &gt;&gt; 03013705162 | BOSCH &gt;&gt; 0986487797 | DELPHI &gt;&gt; LS2068 | METZGER &gt;&gt; MG134 | TRISCAN &gt;&gt; 810018015 | NK &gt;&gt; 2735837 | JAPANPARTS &gt;&gt; GFK23AF | A.B.S. &gt;&gt; 9336 | TRUSTING &gt;&gt; 049175 | ASHIKA &gt;&gt; 550KK23 | SAMKO &gt;&gt; 81167</t>
  </si>
  <si>
    <t>Width [mm] &gt;&gt; 29 | for article number &gt;&gt; 01168 | Supplementary Article/Supplementary Info 2 &gt;&gt; with handbrake lever | Diameter [mm] &gt;&gt; 200</t>
  </si>
  <si>
    <t>CHEVROLET &gt;&gt; 95017074 | TRUSTING &gt;&gt; 027012 | SAMKO &gt;&gt; 81168</t>
  </si>
  <si>
    <t>Supplementary Article/Supplementary Info 2 &gt;&gt; with handbrake lever | Diameter [mm] &gt;&gt; 295 | Width [mm] &gt;&gt; 52 | for article number &gt;&gt; 01169</t>
  </si>
  <si>
    <t>HYUNDAI &gt;&gt; 583504HA00 | HYUNDAI &gt;&gt; 583054HA00 | PAGID &gt;&gt; H1790 | TEXTAR &gt;&gt; 91078200 | MINTEX &gt;&gt; MFR703 | METELLI &gt;&gt; 530501 | TRUSTING &gt;&gt; 046230 | SAMKO &gt;&gt; 81169</t>
  </si>
  <si>
    <t>Diameter [mm] &gt;&gt; 295 | Width [mm] &gt;&gt; 50 | for article number &gt;&gt; 01171</t>
  </si>
  <si>
    <t>ISUZU &gt;&gt; 5878322570 | TRUSTING &gt;&gt; 047379 | SAMKO &gt;&gt; 81171</t>
  </si>
  <si>
    <t>Width [mm] &gt;&gt; 30 | for article number &gt;&gt; 01172 | Diameter [mm] &gt;&gt; 180</t>
  </si>
  <si>
    <t>TRUSTING &gt;&gt; 064182 | SAMKO &gt;&gt; 81172</t>
  </si>
  <si>
    <t>Width [mm] &gt;&gt; 37 | for article number &gt;&gt; 01173 | Diameter [mm] &gt;&gt; 180</t>
  </si>
  <si>
    <t>TOYOTA &gt;&gt; 4659047020 | TOYOTA &gt;&gt; 4655047020 | NK &gt;&gt; 2745831 | TRUSTING &gt;&gt; 115340 | SAMKO &gt;&gt; 81173</t>
  </si>
  <si>
    <t>Diameter [mm] &gt;&gt; 173 | Width [mm] &gt;&gt; 34 | for article number &gt;&gt; 01174</t>
  </si>
  <si>
    <t>TOYOTA &gt;&gt; 4654033030 | TRUSTING &gt;&gt; 115341 | SAMKO &gt;&gt; 81174</t>
  </si>
  <si>
    <t>Equipment Variant &gt;&gt; N17034 | Thread Size &gt;&gt; M12X1.5R | Overall Length [mm] &gt;&gt; 13,8 | Spanner Size &gt;&gt; 18 | DIN / ISO &gt;&gt; DIN 6927</t>
  </si>
  <si>
    <t>Control Arm-/Trailing Arm Bush</t>
  </si>
  <si>
    <t>Mounting Tool Set, ball joint</t>
  </si>
  <si>
    <t>Equipment Variant &gt;&gt; R10051</t>
  </si>
  <si>
    <t>Equipment Variant &gt;&gt; R10052</t>
  </si>
  <si>
    <t>Equipment Variant &gt;&gt; R10053</t>
  </si>
  <si>
    <t>Equipment Variant &gt;&gt; R10054</t>
  </si>
  <si>
    <t>Equipment Variant &gt;&gt; R10069</t>
  </si>
  <si>
    <t>Equipment Variant &gt;&gt; R10120 KIT</t>
  </si>
  <si>
    <t>Brake Pad Set, disc brake</t>
  </si>
  <si>
    <t>Brake System &gt;&gt; KNORR SB6000 | for article number &gt;&gt; 05P1168K | Height [mm] &gt;&gt; 92,5 | Thickness [mm] &gt;&gt; 30 | Width [mm] &gt;&gt; 210,7</t>
  </si>
  <si>
    <t>MERCEDES-BENZ &gt;&gt; 0004210710 | MERCEDES-BENZ &gt;&gt; 0004215010 | MERCEDES-BENZ &gt;&gt; 0004210810 | MERCEDES-BENZ &gt;&gt; 0024207820 | MERCEDES-BENZ &gt;&gt; A0044201320 | MERCEDES-BENZ &gt;&gt; A0024207820 | TEXTAR &gt;&gt; 2909504 | FERODO &gt;&gt; FCV1275BFE | ICER &gt;&gt; 151254073 | TRW &gt;&gt; GDB5072 | SAMKO &gt;&gt; 5SP1168K</t>
  </si>
  <si>
    <t>Width 2 [mm] &gt;&gt; 185 | Thickness/Strength 1 [mm] &gt;&gt; 27 | Width 1 [mm] &gt;&gt; 173,5 | Brake System &gt;&gt; KNORR SB 5000 | for article number &gt;&gt; 05P1169K | Height [mm] &gt;&gt; 84 | Thickness/Strength 2 [mm] &gt;&gt; 34</t>
  </si>
  <si>
    <t>MERCEDES-BENZ &gt;&gt; 0004211010 | MERCEDES-BENZ &gt;&gt; 0014210510 | MERCEDES-BENZ &gt;&gt; 0034201120 | MERCEDES-BENZ &gt;&gt; 0014212610 | MERCEDES-BENZ &gt;&gt; 0004211210 | MERCEDES-BENZ &gt;&gt; 0014212510 | MERCEDES-BENZ &gt;&gt; 0014210610 | MERCEDES-BENZ &gt;&gt; 0034206620 | MERCEDES-BENZ &gt;&gt; 0034201220 | TEXTAR &gt;&gt; 2918302 | ICER &gt;&gt; 151404066 | TRW &gt;&gt; GDB5073 | SAMKO &gt;&gt; 5SP1169K</t>
  </si>
  <si>
    <t>Width [mm] &gt;&gt; 248 | Brake System &gt;&gt; KNORR SB7600 | Height [mm] &gt;&gt; 108 | Thickness [mm] &gt;&gt; 30 | for article number &gt;&gt; 05P1173K</t>
  </si>
  <si>
    <t>SMB &gt;&gt; M100669 | DAF &gt;&gt; 1617343 | DAF &gt;&gt; 1439324 | IVECO &gt;&gt; 2992348 | IVECO &gt;&gt; 2992476 | IVECO &gt;&gt; 2995819 | IVECO &gt;&gt; 1906439 | IVECO &gt;&gt; 2995938 | IVECO &gt;&gt; 41211278 | MAN &gt;&gt; 81508206032 | MAN &gt;&gt; 81508206061 | MAN &gt;&gt; 81508206033 | MAN &gt;&gt; 81508206055 | MAN &gt;&gt; 81508206056 | MAN &gt;&gt; 81508205099 | MAN &gt;&gt; 81508206030 | MERCEDES-BENZ &gt;&gt; 0034203220 | MERCEDES-BENZ &gt;&gt; 0004210510 | MERCEDES-BENZ &gt;&gt; 0034202220 | MERCEDES-BENZ &gt;&gt; 002420222010 | MERCEDES-BENZ &gt;&gt; 0044206020 | MERCEDES-BENZ &gt;&gt; 0004214310 | MERCEDES-BENZ &gt;&gt; 0034202020 | MERCEDES-BENZ &gt;&gt; 004420222010 | MERCEDES-BENZ &gt;&gt; 0044202220 | MERCEDES-BENZ &gt;&gt; 0034201620 | MERCEDES-BENZ &gt;&gt; 0034203520 | SCANIA &gt;&gt; 1856108 | SCANIA &gt;&gt; 1734529 | SCANIA &gt;&gt; 1527633 | SCANIA &gt;&gt; 1521979 | SCANIA &gt;&gt; 1390428 | BOVA &gt;&gt; 204552 | NEOPLAN &gt;&gt; 082135100 | NEOPLAN &gt;&gt; 082134000 | SETRA &gt;&gt; 9291037 | SETRA &gt;&gt; 8285515573 | SETRA &gt;&gt; 8285000571 | EVOBUS &gt;&gt; 8285515573 | SAF &gt;&gt; 5317002300 | SAF &gt;&gt; 3057007900 | SAF &gt;&gt; 3057007700 | BPW &gt;&gt; 0980102570 | BPW &gt;&gt; 0536270020 | BPW &gt;&gt; 0980106360 | BPW &gt;&gt; 0980106200 | BPW &gt;&gt; 0980102920 | FERODO &gt;&gt; FCV4344PTS | ICER &gt;&gt; 151194073 | TRW &gt;&gt; GDB5067 | DON &gt;&gt; CVP020K | SAMKO &gt;&gt; 5SP1173K</t>
  </si>
  <si>
    <t>Thickness [mm] &gt;&gt; 30 | Brake System &gt;&gt; KNORR SB 600 | for article number &gt;&gt; 05P1174K | Height [mm] &gt;&gt; 92,5 | Width [mm] &gt;&gt; 210,7</t>
  </si>
  <si>
    <t>IVECO &gt;&gt; 2992336 | TEXTAR &gt;&gt; 2909504 | FERODO &gt;&gt; FCV1275BFE | ICER &gt;&gt; 151254073 | TRW &gt;&gt; GDB5072 | SAMKO &gt;&gt; 5SP1174K</t>
  </si>
  <si>
    <t>Width [mm] &gt;&gt; 205,5 | Height [mm] &gt;&gt; 100 | Thickness [mm] &gt;&gt; 27 | for article number &gt;&gt; 05P1175K</t>
  </si>
  <si>
    <t>ICER &gt;&gt; 151281066 | TRW &gt;&gt; GDB5082 | DON &gt;&gt; CVP024K | SAMKO &gt;&gt; 5SP1175K | MERITOR &gt;&gt; MDP5076 | MERITOR &gt;&gt; MDP1314</t>
  </si>
  <si>
    <t>Thickness [mm] &gt;&gt; 30 | Brake System &gt;&gt; MERITOR | for article number &gt;&gt; 05P1182K | Width [mm] &gt;&gt; 245 | Fitting Position &gt;&gt; Front Axle | Height [mm] &gt;&gt; 120</t>
  </si>
  <si>
    <t>DAF &gt;&gt; 2992669 | DAF &gt;&gt; 2995552 | FERODO &gt;&gt; FCV1821B | ICER &gt;&gt; 151858066 | SAMKO &gt;&gt; 5SP1182K</t>
  </si>
  <si>
    <t>Width [mm] &gt;&gt; 210 | Height [mm] &gt;&gt; 92 | for article number &gt;&gt; 05P1185K | Brake System &gt;&gt; KNORR SB3745T (SB6) | Thickness [mm] &gt;&gt; 30</t>
  </si>
  <si>
    <t>BPW &gt;&gt; 0509290050 | BPW &gt;&gt; 0980106430 | BPW &gt;&gt; 0509290100 | BPW &gt;&gt; 0980108150 | BPW &gt;&gt; 0980107240 | FERODO &gt;&gt; FCV1678B | ROADHOUSE &gt;&gt; JSX2108480 | REMSA &gt;&gt; JCA108480 | ICER &gt;&gt; 151629066 | DON &gt;&gt; CVP092K | SAMKO &gt;&gt; 5SP1185K</t>
  </si>
  <si>
    <t>Thickness [mm] &gt;&gt; 30 | Width [mm] &gt;&gt; 210 | Height [mm] &gt;&gt; 108 | for article number &gt;&gt; 05P1186K | Brake System &gt;&gt; KNORR SB4309T (SK7)</t>
  </si>
  <si>
    <t>BPW &gt;&gt; 0509290060 | BPW &gt;&gt; 0980106440 | BPW &gt;&gt; 0509290080 | BPW &gt;&gt; 0980107260 | BPW &gt;&gt; 0980106950 | ICER &gt;&gt; 151830066 | TRW &gt;&gt; GDB5093 | DON &gt;&gt; CVP094K | SAMKO &gt;&gt; 5SP1186K</t>
  </si>
  <si>
    <t>Thickness [mm] &gt;&gt; 30 | Width [mm] &gt;&gt; 247 | Height [mm] &gt;&gt; 110 | for article number &gt;&gt; 05P1187K | Brake System &gt;&gt; KNORR SB4345T (SB7)</t>
  </si>
  <si>
    <t>BPW &gt;&gt; 0509290070 | BPW &gt;&gt; 0980106450 | BPW &gt;&gt; 0980108170 | BPW &gt;&gt; 0509290090 | BPW &gt;&gt; 0980107280 | BPW &gt;&gt; 0980106960 | FERODO &gt;&gt; FCV1677B | ROADHOUSE &gt;&gt; JSX2107680 | REMSA &gt;&gt; JCA107680 | ICER &gt;&gt; 151630066 | TRW &gt;&gt; GDB5091 | SAMKO &gt;&gt; 5SP1187K</t>
  </si>
  <si>
    <t>Thickness [mm] &gt;&gt; 17 | Width [mm] &gt;&gt; 117 | Height [mm] &gt;&gt; 57,1 | for article number &gt;&gt; 05P670K | Brake System &gt;&gt; TRW</t>
  </si>
  <si>
    <t>MERCEDES-BENZ &gt;&gt; 1684200120 | MERCEDES-BENZ &gt;&gt; 1684201320 | MERCEDES-BENZ &gt;&gt; 1684201420 | MERCEDES-BENZ &gt;&gt; 1684200720 | ATE &gt;&gt; 13046027762 | PAGID &gt;&gt; T5101 | BOSCH &gt;&gt; 0986424469 | TEXTAR &gt;&gt; 2307004 | JURID &gt;&gt; 571945J | BENDIX &gt;&gt; 571945B | FERODO &gt;&gt; FDB1303 | ROADHOUSE &gt;&gt; 265000 | REMSA &gt;&gt; 065000 | TRW &gt;&gt; GDB1293 | WOKING &gt;&gt; P750300 | SAMKO &gt;&gt; 5SP670K</t>
  </si>
  <si>
    <t>Brake System &gt;&gt; TRW | Thickness [mm] &gt;&gt; 17 | Width [mm] &gt;&gt; 117 | Height [mm] &gt;&gt; 57,1 | for article number &gt;&gt; 05P671K</t>
  </si>
  <si>
    <t>MERCEDES-BENZ &gt;&gt; 1684201220 | MERCEDES-BENZ &gt;&gt; 1684200020 | MERCEDES-BENZ &gt;&gt; 1684201520 | ATE &gt;&gt; 13046028332 | PAGID &gt;&gt; T5110 | BOSCH &gt;&gt; 0986424470 | TEXTAR &gt;&gt; 2307003 | BENDIX &gt;&gt; 571944B | FERODO &gt;&gt; FDB1357 | TRW &gt;&gt; GDB1292 | SAMKO &gt;&gt; 5SP671K</t>
  </si>
  <si>
    <t>for article number &gt;&gt; 05P763K | Brake System &gt;&gt; BOSCH | Warning Contact Length [mm] &gt;&gt; 215 | Height [mm] &gt;&gt; 53,3 | Width [mm] &gt;&gt; 122,8 | Thickness [mm] &gt;&gt; 17,1 | Number of Wear Indicators &gt;&gt; 1</t>
  </si>
  <si>
    <t>CITROEN &gt;&gt; 425407 | FIAT &gt;&gt; 77364158 | FIAT &gt;&gt; 77364517 | FIAT &gt;&gt; 77364798 | FIAT &gt;&gt; 77364477 | FIAT &gt;&gt; 77364874 | FIAT &gt;&gt; 77362194 | FIAT &gt;&gt; 77362548 | FIAT &gt;&gt; 77364919 | FIAT &gt;&gt; 77362091 | FIAT &gt;&gt; 9949273 | PEUGEOT &gt;&gt; 425406 | ATE &gt;&gt; 13046038262 | BOSCH &gt;&gt; 0986494113 | BENDIX &gt;&gt; 573164B | MINTEX &gt;&gt; MDB2239 | ROADHOUSE &gt;&gt; 285801 | REMSA &gt;&gt; 085801 | SAMKO &gt;&gt; 5SP763K</t>
  </si>
  <si>
    <t>Warning Contact Length [mm] &gt;&gt; 205 | Brake System &gt;&gt; BOSCH | for article number &gt;&gt; 05P764K | Number of Wear Indicators &gt;&gt; 1 | Height [mm] &gt;&gt; 57,4 | Thickness [mm] &gt;&gt; 18,4 | Width [mm] &gt;&gt; 136,8</t>
  </si>
  <si>
    <t>CITROEN &gt;&gt; 425409 | FIAT &gt;&gt; 77362092 | FIAT &gt;&gt; 77362195 | FIAT &gt;&gt; 77365379 | FIAT &gt;&gt; 9949276 | FIAT &gt;&gt; 77363420 | FIAT &gt;&gt; 77364473 | FIAT &gt;&gt; 77364875 | FIAT &gt;&gt; 77363958 | PEUGEOT &gt;&gt; 425408 | ATE &gt;&gt; 13046038272 | BOSCH &gt;&gt; 0986424596 | MINTEX &gt;&gt; MDB2240 | TRW &gt;&gt; GDB1655 | SAMKO &gt;&gt; 5SP764K</t>
  </si>
  <si>
    <t>Height [mm] &gt;&gt; 84 | Width 2 [mm] &gt;&gt; 185 | Thickness/Strength 1 [mm] &gt;&gt; 27 | Thickness/Strength 2 [mm] &gt;&gt; 34 | for article number &gt;&gt; 05P1683K | Brake System &gt;&gt; KNORR | Width 1 [mm] &gt;&gt; 173,5</t>
  </si>
  <si>
    <t>MAN &gt;&gt; 81508206043 | MAN &gt;&gt; 81508205085 | MAN &gt;&gt; 81508206054 | MERCEDES-BENZ &gt;&gt; 0044206120 | MERCEDES-BENZ &gt;&gt; 0034207220 | MERCEDES-BENZ &gt;&gt; 0034207320 | TEXTAR &gt;&gt; 2918301 | FERODO &gt;&gt; FCV1277BFE | ICER &gt;&gt; 151404202 | SAMKO &gt;&gt; 5SP1683K</t>
  </si>
  <si>
    <t>Thickness [mm] &gt;&gt; 31 | Width [mm] &gt;&gt; 210,3 | Height [mm] &gt;&gt; 109,8 | for article number &gt;&gt; 05P1684K | Brake System &gt;&gt; WABCO PAN 22-1</t>
  </si>
  <si>
    <t>SAF &gt;&gt; 0233501309 | SAF &gt;&gt; 3057008400 | TEXTAR &gt;&gt; 2916201 | ICER &gt;&gt; 151631066 | TRW &gt;&gt; GDB5094 | DON &gt;&gt; CVP096K | SAMKO &gt;&gt; 5SP1684K</t>
  </si>
  <si>
    <t>Width [mm] &gt;&gt; 116,4 | Brake System &gt;&gt; TRW | for article number &gt;&gt; 05P1826A | Height 2 [mm] &gt;&gt; 60 | Number of Wear Indicators &gt;&gt; 2 | Warning Contact Length [mm] &gt;&gt; 297 | Thickness [mm] &gt;&gt; 17,3 | Height 1 [mm] &gt;&gt; 58,8</t>
  </si>
  <si>
    <t>AUDI &gt;&gt; 4H0698451A | PAGID &gt;&gt; T1955 | TEXTAR &gt;&gt; 2521401 | BREMBO &gt;&gt; P85117 | MINTEX &gt;&gt; MDB3086 | TRW &gt;&gt; GDB1866 | BRECO &gt;&gt; P85117 | SAMKO &gt;&gt; 5SP1826A</t>
  </si>
  <si>
    <t>Height 2 [mm] &gt;&gt; 60 | Warning Contact Length [mm] &gt;&gt; 296 | Brake System &gt;&gt; TRW | for article number &gt;&gt; 05P1826B | Height 1 [mm] &gt;&gt; 58,8 | Number of Wear Indicators &gt;&gt; 2 | Thickness [mm] &gt;&gt; 17,3 | Width [mm] &gt;&gt; 116,4</t>
  </si>
  <si>
    <t>AUDI &gt;&gt; 4H0698451C | AUDI &gt;&gt; 4H0698451D | PAGID &gt;&gt; T2091 | TEXTAR &gt;&gt; 2521404 | BREMBO &gt;&gt; P85120 | MINTEX &gt;&gt; MDB3190 | TRW &gt;&gt; GDB1867 | BRECO &gt;&gt; P85120 | SAMKO &gt;&gt; 5SP1826B</t>
  </si>
  <si>
    <t>Thickness [mm] &gt;&gt; 17,1 | Width [mm] &gt;&gt; 95,85 | Number of Wear Indicators &gt;&gt; 2 | Height 1 [mm] &gt;&gt; 47,7 | Height 2 [mm] &gt;&gt; 48,32 | for article number &gt;&gt; 05P1827 | Brake System &gt;&gt; TRW</t>
  </si>
  <si>
    <t>FIAT &gt;&gt; 77366336 | FIAT &gt;&gt; 68211493AA | ICER &gt;&gt; 182170 | SAMKO &gt;&gt; 5SP1827</t>
  </si>
  <si>
    <t>Thickness [mm] &gt;&gt; 17,4 | Width [mm] &gt;&gt; 146,1 | Height [mm] &gt;&gt; 62,4 | Number of Wear Indicators &gt;&gt; 1 | for article number &gt;&gt; 05P1836 | Brake System &gt;&gt; ATE | Warning Contact Length [mm] &gt;&gt; 155</t>
  </si>
  <si>
    <t>VW &gt;&gt; 5Q0698151C | FERODO &gt;&gt; FDB4454 | ROADHOUSE &gt;&gt; 2160101 | REMSA &gt;&gt; 160101 | ICER &gt;&gt; 182189 | SAMKO &gt;&gt; 5SP1836</t>
  </si>
  <si>
    <t>Width [mm] &gt;&gt; 148,7 | Height [mm] &gt;&gt; 58,5 | for article number &gt;&gt; 05P1840 | Brake System &gt;&gt; NISSIN | Thickness [mm] &gt;&gt; 18</t>
  </si>
  <si>
    <t>HONDA &gt;&gt; 45022S3N000 | HONDA &gt;&gt; 45022SEPA00 | HONDA &gt;&gt; 45022SOKA11 | HONDA &gt;&gt; 45022SOKA01 | HONDA &gt;&gt; 45022SDPA00 | HONDA &gt;&gt; 45022SOKA00 | HONDA &gt;&gt; 45022SFEJ20 | HONDA &gt;&gt; 45022SZ3G00 | HONDA &gt;&gt; 45022SZ3A00 | MINTEX &gt;&gt; MDB2043 | TRW &gt;&gt; GDB3240 | SAMKO &gt;&gt; 5SP1840</t>
  </si>
  <si>
    <t>for article number &gt;&gt; 05P1845 | Thickness [mm] &gt;&gt; 18,5 | Brake System &gt;&gt; BOSCH | Height 1 [mm] &gt;&gt; 58,2 | Width [mm] &gt;&gt; 147,9 | Height 2 [mm] &gt;&gt; 63,3</t>
  </si>
  <si>
    <t>PEUGEOT &gt;&gt; 1610428780 | DELPHI &gt;&gt; LP2506 | ROADHOUSE &gt;&gt; 2155900 | REMSA &gt;&gt; 155900 | ICER &gt;&gt; 182160 | TRW &gt;&gt; GDB2044 | SAMKO &gt;&gt; 5SP1845</t>
  </si>
  <si>
    <t>Brake System &gt;&gt; BREMBO | for article number &gt;&gt; 05P1854 | Height [mm] &gt;&gt; 91,4 | Thickness [mm] &gt;&gt; 18,3 | Width [mm] &gt;&gt; 114,5</t>
  </si>
  <si>
    <t>BMW &gt;&gt; 34116859282 | BMW &gt;&gt; 34116857968 | ROADHOUSE &gt;&gt; 2149110 | REMSA &gt;&gt; 149110 | A.B.S. &gt;&gt; 35005 | TRW &gt;&gt; GDB2031 | SAMKO &gt;&gt; 5SP1854</t>
  </si>
  <si>
    <t>Thickness [mm] &gt;&gt; 15,4 | for article number &gt;&gt; 05P1855 | Brake System &gt;&gt; BREMBO | Height [mm] &gt;&gt; 69,3 | Width [mm] &gt;&gt; 109,7 | Number of Wear Indicators &gt;&gt; 4</t>
  </si>
  <si>
    <t>CHRYSLER &gt;&gt; 5174327AC | CHRYSLER &gt;&gt; 5174327AA | CHRYSLER &gt;&gt; 5174327AB | JEEP &gt;&gt; 68034993AA | JEEP &gt;&gt; 68003610AB | JEEP &gt;&gt; 68003610AA | JEEP VIASA &gt;&gt; 68034993AA | JEEP VIASA &gt;&gt; 68003610AB | JEEP VIASA &gt;&gt; 68003610AA | PAGID &gt;&gt; T1804 | TEXTAR &gt;&gt; 2407601 | BREMBO &gt;&gt; P11024 | MINTEX &gt;&gt; MDB2997 | ROADHOUSE &gt;&gt; 243454 | REMSA &gt;&gt; 043454 | A.B.S. &gt;&gt; 37388 | TRW &gt;&gt; GDB4171 | BRECO &gt;&gt; P11024 | ASHIKA &gt;&gt; 5109907 | SAMKO &gt;&gt; 5SP1855</t>
  </si>
  <si>
    <t>Height [mm] &gt;&gt; 110,2 | for article number &gt;&gt; 05P1859 | Width [mm] &gt;&gt; 216 | Thickness [mm] &gt;&gt; 29 | Brake System &gt;&gt; MERITOR</t>
  </si>
  <si>
    <t>ROADHOUSE &gt;&gt; JSX2138380 | REMSA &gt;&gt; JCA138380 | ICER &gt;&gt; 152122 | TRW &gt;&gt; GDB5112 | SAMKO &gt;&gt; 5SP1859 | MERITOR &gt;&gt; 68326055</t>
  </si>
  <si>
    <t>for article number &gt;&gt; 05P1868 | Brake System &gt;&gt; TRW | Warning Contact Length [mm] &gt;&gt; 225 | Height [mm] &gt;&gt; 69,7 | Thickness [mm] &gt;&gt; 18 | Number of Wear Indicators &gt;&gt; 2 | Width [mm] &gt;&gt; 119</t>
  </si>
  <si>
    <t>DR &gt;&gt; T113501080 | METELLI &gt;&gt; 2201484 | TRUSTING &gt;&gt; 1514 | CIFAM &gt;&gt; 8221484 | SAMKO &gt;&gt; 5SP1868</t>
  </si>
  <si>
    <t>Thickness [mm] &gt;&gt; 30 | for article number &gt;&gt; 05P1872 | Brake System &gt;&gt; HALDEX DB22 LT | Width [mm] &gt;&gt; 210,1 | Fitting Position &gt;&gt; Rear Axle | Height [mm] &gt;&gt; 94,1</t>
  </si>
  <si>
    <t>SMB &gt;&gt; 79022040 | SMB &gt;&gt; 693887 | SMB &gt;&gt; 993887 | SMB &gt;&gt; 9291072 | GIGANT &gt;&gt; 93200 | FERODO &gt;&gt; FCV1814BFE | ICER &gt;&gt; 152150066 | DURON &gt;&gt; DCV1814BFE | SAMKO &gt;&gt; 5SP1872</t>
  </si>
  <si>
    <t>Thickness [mm] &gt;&gt; 17,3 | Width [mm] &gt;&gt; 105,9 | Height 1 [mm] &gt;&gt; 51,8 | Height 2 [mm] &gt;&gt; 55,3 | for article number &gt;&gt; 05P1873</t>
  </si>
  <si>
    <t>CITROEN &gt;&gt; 1609000980 | PAGID &gt;&gt; T2304 | TEXTAR &gt;&gt; 2582701 | MINTEX &gt;&gt; MDB3402 | DELPHI &gt;&gt; LP2509 | ROADHOUSE &gt;&gt; 2155700 | REMSA &gt;&gt; 155700 | ICER &gt;&gt; 182161 | A.B.S. &gt;&gt; 35019 | TRW &gt;&gt; GDB2034 | SAMKO &gt;&gt; 5SP1873</t>
  </si>
  <si>
    <t>Thickness [mm] &gt;&gt; 17,8 | Width [mm] &gt;&gt; 122,8 | Height [mm] &gt;&gt; 53,3 | for article number &gt;&gt; 05P1878 | Brake System &gt;&gt; BOSCH</t>
  </si>
  <si>
    <t>ALFA ROMEO &gt;&gt; 77362179 | FIAT &gt;&gt; 77363035 | FIAT &gt;&gt; 9949556 | FIAT &gt;&gt; 573074S | LANCIA &gt;&gt; 77363992 | ATE &gt;&gt; 13046038102 | PAGID &gt;&gt; T1501 | BOSCH &gt;&gt; 0986494132 | TEXTAR &gt;&gt; 2370503 | BENDIX &gt;&gt; 573170B | FERODO &gt;&gt; FDB1666 | BREMBO &gt;&gt; P23099 | MINTEX &gt;&gt; MDB2644 | DELPHI &gt;&gt; LP1899 | METELLI &gt;&gt; 2203211 | ROADHOUSE &gt;&gt; 285810 | REMSA &gt;&gt; 085810 | ICER &gt;&gt; 181648701 | TRUSTING &gt;&gt; 3301 | TRW &gt;&gt; GDB1579 | BRECO &gt;&gt; P23099 | CIFAM &gt;&gt; 8223211 | SAMKO &gt;&gt; 5SP1878</t>
  </si>
  <si>
    <t>for article number &gt;&gt; 05P1879 | Brake System &gt;&gt; ATE | Height [mm] &gt;&gt; 65,4 | Thickness [mm] &gt;&gt; 17,9 | Width [mm] &gt;&gt; 180,3</t>
  </si>
  <si>
    <t>FORD &gt;&gt; BV612K021AC | FORD &gt;&gt; 1775091 | PAGID &gt;&gt; T2262 | TEXTAR &gt;&gt; 2573601 | BENDIX &gt;&gt; 573460B | FERODO &gt;&gt; FDB4416 | BREMBO &gt;&gt; P24157 | MINTEX &gt;&gt; MDB3364 | ZIMMERMANN &gt;&gt; 257361801 | DELPHI &gt;&gt; LP2495 | ROADHOUSE &gt;&gt; 2151010 | REMSA &gt;&gt; 151010 | ICER &gt;&gt; 182134 | A.B.S. &gt;&gt; 37996 | TRW &gt;&gt; GDB2009 | BRECO &gt;&gt; P24157 | sbs &gt;&gt; 1501222580 | SAMKO &gt;&gt; 5SP1879</t>
  </si>
  <si>
    <t>Thickness [mm] &gt;&gt; 16,1 | Width [mm] &gt;&gt; 123 | Height [mm] &gt;&gt; 51,9 | for article number &gt;&gt; 05P1882 | Brake System &gt;&gt; ATE</t>
  </si>
  <si>
    <t>FORD &gt;&gt; 1683374 | FORD &gt;&gt; 1805813 | FORD &gt;&gt; AV612M008BA | FORD &gt;&gt; BV612M007BA | FORD &gt;&gt; AV612M008AA | FORD &gt;&gt; AV612M008AB | FORD &gt;&gt; 1809458 | FORD &gt;&gt; 5134101 | FORD &gt;&gt; MEAV6J2M008BA | VOLVO &gt;&gt; 31323501 | VOLVO &gt;&gt; 31341331 | VOLVO &gt;&gt; 31341327 | PAGID &gt;&gt; T2050 | TEXTAR &gt;&gt; 2521201 | BREMBO &gt;&gt; P24148 | MINTEX &gt;&gt; MDB3150 | ROADHOUSE &gt;&gt; 284270 | REMSA &gt;&gt; 084270 | TRW &gt;&gt; GDB1938 | BRECO &gt;&gt; P24148 | SAMKO &gt;&gt; 5SP1882</t>
  </si>
  <si>
    <t>for article number &gt;&gt; 05P1885 | Brake System &gt;&gt; BREMBO | Width [mm] &gt;&gt; 189,6 | Thickness [mm] &gt;&gt; 16,6 | Height [mm] &gt;&gt; 96</t>
  </si>
  <si>
    <t>LAND ROVER &gt;&gt; LR016684 | LAND ROVER &gt;&gt; LR020362 | LAND ROVER &gt;&gt; LRO20362 | LAND ROVER &gt;&gt; LRO16684 | PAGID &gt;&gt; T2113 | BOSCH &gt;&gt; 0986494440 | TEXTAR &gt;&gt; 2465901 | JURID &gt;&gt; 573343J | BENDIX &gt;&gt; 573343B | FTE &gt;&gt; BL2624A1 | QUINTON HAZELL &gt;&gt; BP1798 | FERODO &gt;&gt; FDB4379 | BREMBO &gt;&gt; P44023 | MINTEX &gt;&gt; MDB3129 | DELPHI &gt;&gt; LP2187 | ROADHOUSE &gt;&gt; 2141000 | REMSA &gt;&gt; 141000 | JAPANPARTS &gt;&gt; PAL08AF | ICER &gt;&gt; 181956 | A.B.S. &gt;&gt; 37801 | TRW &gt;&gt; GDB1834 | BRECO &gt;&gt; P44023 | ASHIKA &gt;&gt; 500LL08 | WOKING &gt;&gt; P1510300 | SAMKO &gt;&gt; 5SP1885 | BLUE PRINT &gt;&gt; ADJ134209</t>
  </si>
  <si>
    <t>Width [mm] &gt;&gt; 210,8 | Height [mm] &gt;&gt; 92,5 | for article number &gt;&gt; 05P1897 | Brake System &gt;&gt; Knorr SN 6 | Thickness [mm] &gt;&gt; 30</t>
  </si>
  <si>
    <t>BPW &gt;&gt; 0509290040 | BPW &gt;&gt; 0509290100 | BPW &gt;&gt; 0980106210 | BPW &gt;&gt; 980107240 | BPW &gt;&gt; 0980102930 | BPW &gt;&gt; 0980108150 | BPW &gt;&gt; 0509290050 | BPW &gt;&gt; 0980102750 | BPW &gt;&gt; 0980107240 | BPW &gt;&gt; 0980107090 | BPW &gt;&gt; 0509290220 | BPW &gt;&gt; 0980106430 | BPW &gt;&gt; 0980106350 | TEXTAR &gt;&gt; 2930601 | SAMKO &gt;&gt; 5SP1897</t>
  </si>
  <si>
    <t>Width [mm] &gt;&gt; 247,5 | Brake System &gt;&gt; Knorr SN 7 | Height [mm] &gt;&gt; 109 | Thickness [mm] &gt;&gt; 30 | for article number &gt;&gt; 05P1898</t>
  </si>
  <si>
    <t>BPW &gt;&gt; 0509290070 | BPW &gt;&gt; 0536270020 | BPW &gt;&gt; 0980106360 | BPW &gt;&gt; 0980106200 | BPW &gt;&gt; 0509290090 | BPW &gt;&gt; 0980102920 | BPW &gt;&gt; 0980108170 | BPW &gt;&gt; 0980107250 | BPW &gt;&gt; 0980102570 | BPW &gt;&gt; 0980106960 | BPW &gt;&gt; 0980106450 | TEXTAR &gt;&gt; 2930701 | SAMKO &gt;&gt; 5SP1898</t>
  </si>
  <si>
    <t>Thickness [mm] &gt;&gt; 30 | Width [mm] &gt;&gt; 210,7 | Height [mm] &gt;&gt; 108 | for article number &gt;&gt; 05P1899 | Brake System &gt;&gt; Knorr SK 7</t>
  </si>
  <si>
    <t>BPW &gt;&gt; 0509290060 | BPW &gt;&gt; 0509290230 | BPW &gt;&gt; 0980108160 | BPW &gt;&gt; 0980107260 | BPW &gt;&gt; 0509290080 | BPW &gt;&gt; 0980106950 | BPW &gt;&gt; 0980106440 | TEXTAR &gt;&gt; 2930801 | SAMKO &gt;&gt; 5SP1899</t>
  </si>
  <si>
    <t>Supplementary Article/Supplementary Info 2 &gt;&gt; with screws | Thickness [mm] &gt;&gt; 18 | Width [mm] &gt;&gt; 160 | Height [mm] &gt;&gt; 60 | for article number &gt;&gt; 05P1901 | Brake System &gt;&gt; TRW</t>
  </si>
  <si>
    <t>OPEL &gt;&gt; 95518304 | OPEL &gt;&gt; 4423332 | OPEL &gt;&gt; 410608638R | PAGID &gt;&gt; T2433 | TEXTAR &gt;&gt; 2208701 | MINTEX &gt;&gt; MDB3755 | DELPHI &gt;&gt; LP3143 | ROADHOUSE &gt;&gt; 2161708 | REMSA &gt;&gt; 161708 | ICER &gt;&gt; 142219 | APEC braking &gt;&gt; PAD2047 | WOKING &gt;&gt; P1717308 | SAMKO &gt;&gt; 5SP1901 | RAICAM &gt;&gt; RA11010</t>
  </si>
  <si>
    <t>Brake System &gt;&gt; BOSCH | for article number &gt;&gt; 05P1902 | Number of Wear Indicators &gt;&gt; 2 | Height [mm] &gt;&gt; 48,8 | Thickness [mm] &gt;&gt; 18,8 | Width [mm] &gt;&gt; 137</t>
  </si>
  <si>
    <t>FIAT &gt;&gt; 77366679 | ROADHOUSE &gt;&gt; 2123802 | REMSA &gt;&gt; 123802 | TRW &gt;&gt; GDB2068 | APEC braking &gt;&gt; PAD2037 | WOKING &gt;&gt; P1338302 | SAMKO &gt;&gt; 5SP1902</t>
  </si>
  <si>
    <t>Height 2 [mm] &gt;&gt; 72,27 | Thickness/Strength 1 [mm] &gt;&gt; 18,7 | Thickness/Strength 2 [mm] &gt;&gt; 19,5 | Height 1 [mm] &gt;&gt; 66,97 | Width [mm] &gt;&gt; 155,2 | for article number &gt;&gt; 05P1903 | Brake System &gt;&gt; ATE</t>
  </si>
  <si>
    <t>CITROEN &gt;&gt; 425488 | PEUGEOT &gt;&gt; 1609987980 | FTE &gt;&gt; BL2552B1 | ROADHOUSE &gt;&gt; 2124930 | REMSA &gt;&gt; 124930 | ICER &gt;&gt; 181866200 | TRW &gt;&gt; GDB2025 | SAMKO &gt;&gt; 5SP1903</t>
  </si>
  <si>
    <t>Brake System &gt;&gt; BREMBO | Thickness [mm] &gt;&gt; 21 | Width [mm] &gt;&gt; 184,2 | Height [mm] &gt;&gt; 74,9 | for article number &gt;&gt; 05P1904</t>
  </si>
  <si>
    <t>MERCEDES-BENZ &gt;&gt; 4474200020 | PAGID &gt;&gt; T2414 | TEXTAR &gt;&gt; 2206201 | FTE &gt;&gt; BL2830A1 | MINTEX &gt;&gt; MDB3738 | ROADHOUSE &gt;&gt; 2162300 | REMSA &gt;&gt; 162300 | ICER &gt;&gt; 142191 | WOKING &gt;&gt; P1723300 | SAMKO &gt;&gt; 5SP1904</t>
  </si>
  <si>
    <t>Brake System &gt;&gt; BREMBO | for article number &gt;&gt; 05P1905 | Height [mm] &gt;&gt; 46,3 | Thickness [mm] &gt;&gt; 18,7 | Width [mm] &gt;&gt; 118,6</t>
  </si>
  <si>
    <t>MERCEDES-BENZ &gt;&gt; 4474200120 | TEXTAR &gt;&gt; P1724300 | FTE &gt;&gt; BL2831A1 | DELPHI &gt;&gt; LP3139 | ROADHOUSE &gt;&gt; 2162400 | REMSA &gt;&gt; 162400 | ICER &gt;&gt; 142192 | SAMKO &gt;&gt; 5SP1905</t>
  </si>
  <si>
    <t>Width [mm] &gt;&gt; 114,8 | Brake System &gt;&gt; BENDIX | Warning Contact Length [mm] &gt;&gt; 195 | for article number &gt;&gt; 05P1906 | Thickness [mm] &gt;&gt; 17 | Height [mm] &gt;&gt; 55,2 | Number of Wear Indicators &gt;&gt; 2</t>
  </si>
  <si>
    <t>FORD &gt;&gt; 1736940 | FORD &gt;&gt; 1731172 | FORD &gt;&gt; ME9S51J2K021BA | FORD &gt;&gt; ME9S5J2K021BB | FORD &gt;&gt; BS512K021BA | FORD &gt;&gt; 1778385 | FORD &gt;&gt; BS512K021A | PAGID &gt;&gt; T2216 | TEXTAR &gt;&gt; 2143609 | BREMBO &gt;&gt; P24147 | MINTEX &gt;&gt; MDB3317 | METELLI &gt;&gt; 2201593 | ROADHOUSE &gt;&gt; 241422 | REMSA &gt;&gt; 041422 | TRUSTING &gt;&gt; 1623 | BRECO &gt;&gt; P24147 | CIFAM &gt;&gt; 8221593 | SAMKO &gt;&gt; 5SP1906</t>
  </si>
  <si>
    <t>for article number &gt;&gt; 05P1907 | Brake System &gt;&gt; BOSCH | Number of Wear Indicators &gt;&gt; 2 | Height [mm] &gt;&gt; 52,2 | Width [mm] &gt;&gt; 123 | Thickness [mm] &gt;&gt; 17,7 | Warning Contact Length [mm] &gt;&gt; 205</t>
  </si>
  <si>
    <t>FORD &gt;&gt; ME9S5J2K021AB | PAGID &gt;&gt; T2215 | TEXTAR &gt;&gt; 2476401 | FTE &gt;&gt; BL2544B1 | BREMBO &gt;&gt; P24150 | MINTEX &gt;&gt; MDB3316 | METELLI &gt;&gt; 2206382 | ICER &gt;&gt; 181843203 | TRUSTING &gt;&gt; 6542 | BRECO &gt;&gt; P24150 | CIFAM &gt;&gt; 8226382 | SAMKO &gt;&gt; 5SP1907</t>
  </si>
  <si>
    <t>Brake Master Cylinder</t>
  </si>
  <si>
    <t>Brake System &gt;&gt; Mando | for article number &gt;&gt; 1489 | Bore O [mm] &gt;&gt; 22,2</t>
  </si>
  <si>
    <t>HYUNDAI &gt;&gt; 5851025300 | METELLI &gt;&gt; 050816 | NIPPARTS &gt;&gt; J3100529 | CIFAM &gt;&gt; 202816 | SAMKO &gt;&gt; P30347 | BLUE PRINT &gt;&gt; ADG05113</t>
  </si>
  <si>
    <t>Bore O [mm] &gt;&gt; 22,2 | Material &gt;&gt; Aluminium | for article number &gt;&gt; 1560</t>
  </si>
  <si>
    <t>BREMBO &gt;&gt; M30010 | BRECO &gt;&gt; M30010 | SAMKO &gt;&gt; P30366</t>
  </si>
  <si>
    <t>Bore O [mm] &gt;&gt; 22,2 | for article number &gt;&gt; 1588 | Brake System &gt;&gt; ATE</t>
  </si>
  <si>
    <t>PEUGEOT &gt;&gt; 4601J1 | ATE &gt;&gt; 010612 | ATE &gt;&gt; 03412200413 | FTE &gt;&gt; H22912371 | BREMBO &gt;&gt; M61118 | METELLI &gt;&gt; 050532 | TRUSTING &gt;&gt; PF589 | TRW &gt;&gt; PMH963 | BRECO &gt;&gt; M61118 | fri.tech. &gt;&gt; PF589 | CIFAM &gt;&gt; 202532 | SAMKO &gt;&gt; P30394</t>
  </si>
  <si>
    <t>Bore O [mm] &gt;&gt; 25,4 | Thread Size &gt;&gt; 12 x 1 (2) | Material &gt;&gt; Aluminium | for article number &gt;&gt; 1590 | Brake System &gt;&gt; TRW</t>
  </si>
  <si>
    <t>ALFA ROMEO &gt;&gt; 77364503 | ALFA ROMEO &gt;&gt; 9948690 | ALFA ROMEO &gt;&gt; 9949166 | ATE &gt;&gt; 24212517293 | ATE &gt;&gt; 010752 | BREMBO &gt;&gt; M23119 | METELLI &gt;&gt; 050643 | METELLI &gt;&gt; 050558 | TRUSTING &gt;&gt; PF591 | TRUSTING &gt;&gt; PF605 | TRW &gt;&gt; PML441 | BRECO &gt;&gt; M23119 | GIRLING &gt;&gt; 4008441 | fri.tech. &gt;&gt; PF591 | fri.tech. &gt;&gt; PF605 | CIFAM &gt;&gt; 202643 | CIFAM &gt;&gt; 202558 | SAMKO &gt;&gt; P30396</t>
  </si>
  <si>
    <t>Bore O [mm] &gt;&gt; 20,64 | for article number &gt;&gt; 1593</t>
  </si>
  <si>
    <t>TOYOTA &gt;&gt; 4720142231 | TOYOTA &gt;&gt; 4720142230 | TOYOTA &gt;&gt; 4720144140 | TOYOTA &gt;&gt; 4720142240 | BREMBO &gt;&gt; M83032 | METELLI &gt;&gt; 050590 | TRUSTING &gt;&gt; PF643 | TRW &gt;&gt; PMF724 | TRW &gt;&gt; PMF761 | BRECO &gt;&gt; M83032 | NIPPARTS &gt;&gt; J3102130 | fri.tech. &gt;&gt; PF643 | CIFAM &gt;&gt; 202590 | SAMKO &gt;&gt; P30399 | BLUE PRINT &gt;&gt; ADT35132</t>
  </si>
  <si>
    <t>Thickness [mm] &gt;&gt; 30 | Width [mm] &gt;&gt; 247,4 | Height [mm] &gt;&gt; 105 | for article number &gt;&gt; 05P824K | Brake System &gt;&gt; HALDEX DB22</t>
  </si>
  <si>
    <t>SMB &gt;&gt; M91002704 | SAF &gt;&gt; 3057317900 | FERODO &gt;&gt; FCV1367B | ROADHOUSE &gt;&gt; JSX2107380 | REMSA &gt;&gt; JCA107380 | TRW &gt;&gt; GDB5090 | SAMKO &gt;&gt; 5SP824K</t>
  </si>
  <si>
    <t>Master Cylinder, clutch</t>
  </si>
  <si>
    <t>for article number &gt;&gt; 2175</t>
  </si>
  <si>
    <t>AUDI &gt;&gt; 8D2721401B | AUDI &gt;&gt; 8D2721401 | VW &gt;&gt; 8D2721401B | VW &gt;&gt; 8D2721401 | LuK &gt;&gt; 511011010 | SACHS &gt;&gt; 6284008432 | BREMBO &gt;&gt; C85018 | BRECO &gt;&gt; C85018 | SAMKO &gt;&gt; F30080</t>
  </si>
  <si>
    <t>Bore O [mm] &gt;&gt; 15,87 | for article number &gt;&gt; 2190</t>
  </si>
  <si>
    <t>VW &gt;&gt; 1H0721401A | VW &gt;&gt; 7H0721401 | VW &gt;&gt; 7H0721401C | VW &gt;&gt; 7H0721401A | VW &gt;&gt; 7H0721401B | PAGID &gt;&gt; 82150 | SACHS &gt;&gt; 6284605025 | FTE &gt;&gt; KG1503744 | NK &gt;&gt; 834721 | TRW &gt;&gt; PNB593 | SAMKO &gt;&gt; F30095</t>
  </si>
  <si>
    <t>Bore O [mm] &gt;&gt; 15,87 | Material &gt;&gt; Plastic | for article number &gt;&gt; 2235</t>
  </si>
  <si>
    <t>CITROEN &gt;&gt; 9646135280 | CITROEN &gt;&gt; 9680153780 | PEUGEOT &gt;&gt; 218241 | PEUGEOT &gt;&gt; 218247 | PEUGEOT &gt;&gt; 218231 | LuK &gt;&gt; 511009410 | SACHS &gt;&gt; 6284000055 | BENDIX &gt;&gt; 122113B | FTE &gt;&gt; KG1504044 | NK &gt;&gt; 831905 | TRW &gt;&gt; PND275 | SAMKO &gt;&gt; F30119</t>
  </si>
  <si>
    <t>Mounting bores distance [mm] &gt;&gt; 60 | Bore O [mm] &gt;&gt; 19,05 | Material &gt;&gt; Aluminium | for article number &gt;&gt; 2236</t>
  </si>
  <si>
    <t>SAAB &gt;&gt; 4626057 | SAAB &gt;&gt; 4626172 | ATE &gt;&gt; 030116 | ATE &gt;&gt; 24241917273 | BENDIX &gt;&gt; 122124B | FTE &gt;&gt; KG19006303 | FERODO &gt;&gt; FHC5178 | NK &gt;&gt; 834109 | TRW &gt;&gt; PND221 | GIRLING &gt;&gt; 1204221 | SAMKO &gt;&gt; F30120</t>
  </si>
  <si>
    <t>for article number &gt;&gt; 2244 | Bore O [mm] &gt;&gt; 15,87 | Material &gt;&gt; Plastic</t>
  </si>
  <si>
    <t>CITROEN &gt;&gt; 9643805480 | CITROEN &gt;&gt; 9681667180 | PEUGEOT &gt;&gt; 218282 | PEUGEOT &gt;&gt; 218224 | SACHS &gt;&gt; 6284605038 | BENDIX &gt;&gt; 122114B | FTE &gt;&gt; KG1504047 | METELLI &gt;&gt; 550049 | NK &gt;&gt; 833707 | CIFAM &gt;&gt; 505049 | SAMKO &gt;&gt; F30128</t>
  </si>
  <si>
    <t>Bore O [mm] &gt;&gt; 15,87 | Material &gt;&gt; Plastic | for article number &gt;&gt; 2291</t>
  </si>
  <si>
    <t>CITROEN &gt;&gt; 218212 | CITROEN &gt;&gt; 9638458880 | SACHS &gt;&gt; 6284605036 | BENDIX &gt;&gt; 122115B | FTE &gt;&gt; KG1502806 | NK &gt;&gt; 831902 | TRW &gt;&gt; PNB626 | SAMKO &gt;&gt; F30175</t>
  </si>
  <si>
    <t>Bore O [mm] &gt;&gt; 15,87 | Material &gt;&gt; Aluminium | for article number &gt;&gt; 2294</t>
  </si>
  <si>
    <t>DAEWOO &gt;&gt; 96184062 | DAEWOO &gt;&gt; 96249472 | DAEWOO &gt;&gt; 96249473 | DAEWOO &gt;&gt; 96481284 | DAEWOO &gt;&gt; 96229375 | DAEWOO &gt;&gt; 96481285 | VALEO &gt;&gt; 804625 | SACHS &gt;&gt; 6284600596 | FTE &gt;&gt; KG15002671 | FTE &gt;&gt; KG15002771 | TRW &gt;&gt; PNK772 | NIPPARTS &gt;&gt; J2500900 | MALO &gt;&gt; 88089 | SAMKO &gt;&gt; F30178</t>
  </si>
  <si>
    <t>Bore O [mm] &gt;&gt; 15,87 | for article number &gt;&gt; 2320</t>
  </si>
  <si>
    <t>OPEL &gt;&gt; 5679305 | VAUXHALL &gt;&gt; 90523770 | BOSCH &gt;&gt; F026A01906 | FTE &gt;&gt; KG1502201 | NK &gt;&gt; 833606 | TRW &gt;&gt; PNB559 | GIRLING &gt;&gt; 1202559 | SAMKO &gt;&gt; F30187 | NUOVA TECNODELTA &gt;&gt; 7234</t>
  </si>
  <si>
    <t>Bore O [mm] &gt;&gt; 19,05 | Mounting bores distance [mm] &gt;&gt; 50,1 | for article number &gt;&gt; 2321 | Thread Size &gt;&gt; plug-in connect.sys. | Material &gt;&gt; Aluminium</t>
  </si>
  <si>
    <t>MERCEDES-BENZ &gt;&gt; 2042900012 | MERCEDES-BENZ &gt;&gt; A2042900012 | SACHS &gt;&gt; 6284605047 | FTE &gt;&gt; KG19006245 | TRW &gt;&gt; PND274 | SAMKO &gt;&gt; F30188</t>
  </si>
  <si>
    <t>Bore O [mm] &gt;&gt; 19,05 | Thread Size &gt;&gt; plug-in connect.sys. | Material &gt;&gt; Aluminium | for article number &gt;&gt; 2322 | Mounting bores distance [mm] &gt;&gt; 61,5</t>
  </si>
  <si>
    <t>VW &gt;&gt; 8E1721401AF | VW &gt;&gt; 8E1721401AL | VW &gt;&gt; 8E1721401F | LuK &gt;&gt; 511011910 | BOSCH &gt;&gt; 0986486061 | SACHS &gt;&gt; 6284000021 | FTE &gt;&gt; KG19012301 | METELLI &gt;&gt; 550095 | NK &gt;&gt; 834726 | TRW &gt;&gt; PND303 | TRW &gt;&gt; PND224 | GIRLING &gt;&gt; 1204224 | CIFAM &gt;&gt; 505095 | SAMKO &gt;&gt; F30189</t>
  </si>
  <si>
    <t>Bore O [mm] &gt;&gt; 19,05 | for article number &gt;&gt; 2339</t>
  </si>
  <si>
    <t>CITROEN &gt;&gt; 1401258680 | FIAT &gt;&gt; 1401258680 | PEUGEOT &gt;&gt; 2182A8 | SACHS &gt;&gt; 6284605041 | FTE &gt;&gt; KG190062411 | SAMKO &gt;&gt; F30206</t>
  </si>
  <si>
    <t>Mounting bores distance [mm] &gt;&gt; 50 | Bore O [mm] &gt;&gt; 19,05 | Thread Size &gt;&gt; plug-in connect.sys. | Material &gt;&gt; Aluminium | for article number &gt;&gt; 2340</t>
  </si>
  <si>
    <t>CITROEN &gt;&gt; 1400474880 | CITROEN &gt;&gt; 1400789580 | PEUGEOT &gt;&gt; 218283 | SACHS &gt;&gt; 6284605042 | FTE &gt;&gt; KG19006247 | TRW &gt;&gt; PND259 | SAMKO &gt;&gt; F30207</t>
  </si>
  <si>
    <t>Mounting bores distance [mm] &gt;&gt; 50 | for article number &gt;&gt; 2342 | Material &gt;&gt; Aluminium | Bore O [mm] &gt;&gt; 19,05 | Thread Size &gt;&gt; plug-in connect.sys.</t>
  </si>
  <si>
    <t>CITROEN &gt;&gt; 1400474980 | CITROEN &gt;&gt; 1400789780 | PEUGEOT &gt;&gt; 218284 | FTE &gt;&gt; KG19006248 | TRW &gt;&gt; PND260 | SAMKO &gt;&gt; F30209</t>
  </si>
  <si>
    <t>Bore O [mm] &gt;&gt; 19,05 | for article number &gt;&gt; 2343</t>
  </si>
  <si>
    <t>FORD &gt;&gt; 1366871 | FORD &gt;&gt; 1478573 | FORD &gt;&gt; 30735892 | FORD &gt;&gt; 3M517A542AH | FORD &gt;&gt; 3M517A542AG | FORD &gt;&gt; 30681424 | FORD &gt;&gt; 3M517A542AF | FORD &gt;&gt; 3M517A542AE | FORD &gt;&gt; 1386631 | FORD &gt;&gt; 1719008 | FORD &gt;&gt; 3M517A542AD | FORD &gt;&gt; BV617A542AA | FORD &gt;&gt; 3M517A542AC | FORD &gt;&gt; BCM441400B | FORD &gt;&gt; BCM441400A | FORD &gt;&gt; 1547414 | FORD &gt;&gt; 31259464 | FORD &gt;&gt; BCM441400 | FORD &gt;&gt; 9480486 | FORD &gt;&gt; 30787892 | SACHS &gt;&gt; 6284605011 | FTE &gt;&gt; KG190089421 | NK &gt;&gt; 833219 | TRW &gt;&gt; PND290 | SAMKO &gt;&gt; F30210</t>
  </si>
  <si>
    <t>Bore O [mm] &gt;&gt; 17 | for article number &gt;&gt; 2345</t>
  </si>
  <si>
    <t>NISSAN &gt;&gt; 30610JG40A | NISSAN &gt;&gt; 30610JY40B | VALEO &gt;&gt; 804878 | SACHS &gt;&gt; 6284600681 | SAMKO &gt;&gt; F30212</t>
  </si>
  <si>
    <t>for article number &gt;&gt; 2365 | Material &gt;&gt; Plastic</t>
  </si>
  <si>
    <t>FIAT &gt;&gt; 55192726 | VALEO &gt;&gt; 804829 | SACHS &gt;&gt; 6284600669 | MALO &gt;&gt; 88397 | SAMKO &gt;&gt; F30232</t>
  </si>
  <si>
    <t>for article number &gt;&gt; 2368 | Bore O [mm] &gt;&gt; 15,87</t>
  </si>
  <si>
    <t>CITROEN &gt;&gt; 9672096480 | PEUGEOT &gt;&gt; 2182E4 | PEUGEOT &gt;&gt; 2182H2 | PEUGEOT &gt;&gt; 2182F8 | LuK &gt;&gt; 511026510 | SACHS &gt;&gt; 6284600672 | FTE &gt;&gt; KG15005571 | SAMKO &gt;&gt; F30235</t>
  </si>
  <si>
    <t>Bore O [mm] &gt;&gt; 15,87 | for article number &gt;&gt; 2369</t>
  </si>
  <si>
    <t>PEUGEOT &gt;&gt; 218256 | PEUGEOT &gt;&gt; 2182G3 | PEUGEOT &gt;&gt; 2182A4 | LuK &gt;&gt; 511015410 | SACHS &gt;&gt; 6284600671 | FTE &gt;&gt; KG15005771 | SAMKO &gt;&gt; F30236</t>
  </si>
  <si>
    <t>Bore O [mm] &gt;&gt; 15,87 | Material &gt;&gt; Aluminium | for article number &gt;&gt; 2370</t>
  </si>
  <si>
    <t>FIAT &gt;&gt; 55190994 | OPEL &gt;&gt; 5679358 | PEUGEOT &gt;&gt; 2182E6 | FTE &gt;&gt; KG1505941 | NK &gt;&gt; 832311 | TRW &gt;&gt; PNB592 | TRW &gt;&gt; PNB560 | GIRLING &gt;&gt; 1202560 | SAMKO &gt;&gt; F30237 | NUOVA TECNODELTA &gt;&gt; 7129</t>
  </si>
  <si>
    <t>Bore O [mm] &gt;&gt; 19,05 | Material &gt;&gt; Plastic | for article number &gt;&gt; 2373</t>
  </si>
  <si>
    <t>FORD &gt;&gt; 1224067 | FORD &gt;&gt; 1226669 | FORD &gt;&gt; 1330266 | FORD &gt;&gt; 1232971 | FORD &gt;&gt; 1539939 | FORD &gt;&gt; 1224070 | FORD &gt;&gt; 1232964 | FORD &gt;&gt; 1539937 | FORD &gt;&gt; 3M517A543BF | FORD &gt;&gt; 1476807 | FORD &gt;&gt; 3M517A543BE | FORD &gt;&gt; 3M517A543BD | FORD &gt;&gt; 1226670 | FORD &gt;&gt; 1476806 | FORD &gt;&gt; 3M517A543AG | FORD &gt;&gt; 3M517A543AF | FORD &gt;&gt; 1330267 | FORD &gt;&gt; 3M517A543AE | MAZDA &gt;&gt; B32H41400D | MAZDA &gt;&gt; B32H41400C | VOLVO &gt;&gt; 31259463 | VOLVO &gt;&gt; 30787891 | VOLVO &gt;&gt; 30681423 | VOLVO &gt;&gt; 31325415 | FTE &gt;&gt; KG190089440 | FTE &gt;&gt; KG190089411 | NK &gt;&gt; 833220 | TRW &gt;&gt; PND291 | TRW &gt;&gt; PND249 | SAMKO &gt;&gt; F30240</t>
  </si>
  <si>
    <t>Bore O [mm] &gt;&gt; 15,87 | for article number &gt;&gt; 2374</t>
  </si>
  <si>
    <t>VW &gt;&gt; 3C0721388 | VW &gt;&gt; 3C0721388B | SACHS &gt;&gt; 6284605003 | FTE &gt;&gt; KG15065411 | TRW &gt;&gt; PNB561 | SAMKO &gt;&gt; F30241</t>
  </si>
  <si>
    <t>Slave Cylinder, clutch</t>
  </si>
  <si>
    <t>Bore O [mm] &gt;&gt; 22,2 | for article number &gt;&gt; 3033</t>
  </si>
  <si>
    <t>AUDI &gt;&gt; 4F0721257 | AUDI &gt;&gt; 4F0721257B | AUDI &gt;&gt; 4F0721257D | SACHS &gt;&gt; 6283605005 | BENDIX &gt;&gt; 512106B | FTE &gt;&gt; KN2207144 | FERODO &gt;&gt; FHC6177 | FEBI BILSTEIN &gt;&gt; 34920 | NK &gt;&gt; 844719 | TRW &gt;&gt; PJH180 | SAMKO &gt;&gt; M30041</t>
  </si>
  <si>
    <t>Material &gt;&gt; Cast Iron | for article number &gt;&gt; 3040 | Bore O [mm] &gt;&gt; 19,05</t>
  </si>
  <si>
    <t>MITSUBISHI &gt;&gt; MR470217 | SAMKO &gt;&gt; M30048</t>
  </si>
  <si>
    <t>Bore O [mm] &gt;&gt; 22,2 | for article number &gt;&gt; 3045</t>
  </si>
  <si>
    <t>AUDI &gt;&gt; 4F0721257C | AUDI &gt;&gt; 4F0721257E | SACHS &gt;&gt; 6283605006 | FTE &gt;&gt; KN2207145 | NK &gt;&gt; 844720 | TRW &gt;&gt; PJH197 | SAMKO &gt;&gt; M30053</t>
  </si>
  <si>
    <t>Bore O [mm] &gt;&gt; 22,2 | Material &gt;&gt; Cast Iron | for article number &gt;&gt; 3071</t>
  </si>
  <si>
    <t>BMW &gt;&gt; 21526756456 | BMW &gt;&gt; 21526775872 | BMW &gt;&gt; 6785964 | BMW &gt;&gt; 6756456 | BMW &gt;&gt; 21526785964 | BOSCH &gt;&gt; F026A06932 | SACHS &gt;&gt; 6283600515 | FTE &gt;&gt; KN2207642 | NK &gt;&gt; 841508 | TRW &gt;&gt; PJH195 | GIRLING &gt;&gt; 1106195 | MALO &gt;&gt; 88645 | SAMKO &gt;&gt; M30079 | NUOVA TECNODELTA &gt;&gt; 9249</t>
  </si>
  <si>
    <t>Bore O [mm] &gt;&gt; 28,6 | Material &gt;&gt; Cast Iron | for article number &gt;&gt; 3139</t>
  </si>
  <si>
    <t>RENAULT &gt;&gt; 7700770689 | RENAULT TRUCKS &gt;&gt; 7700770689 | BOSCH &gt;&gt; 0204163025 | BENDIX &gt;&gt; 511525B | TRW &gt;&gt; PJN118 | GIRLING &gt;&gt; 1110118 | SAMKO &gt;&gt; M30147</t>
  </si>
  <si>
    <t>Central Slave Cylinder, clutch</t>
  </si>
  <si>
    <t>Bore O [mm] &gt;&gt; 31 | Material &gt;&gt; Aluminium | for article number &gt;&gt; 3247</t>
  </si>
  <si>
    <t>VW &gt;&gt; 0A5141671H | VW &gt;&gt; 0A5141671L | LuK &gt;&gt; 510017610 | SACHS &gt;&gt; 3182600204 | FTE &gt;&gt; ZA3106631 | TRW &gt;&gt; PJQ218 | SAMKO &gt;&gt; M30234</t>
  </si>
  <si>
    <t>Bore O [mm] &gt;&gt; 22 | for article number &gt;&gt; 3250</t>
  </si>
  <si>
    <t>CHEVROLET &gt;&gt; 073C25185077 | CHEVROLET &gt;&gt; 348191 | CHEVROLET &gt;&gt; 25185077 | CHEVROLET &gt;&gt; 96890028 | CHEVROLET &gt;&gt; 679067 | FTE &gt;&gt; ZA3405742 | SAMKO &gt;&gt; M30237</t>
  </si>
  <si>
    <t>Bore O [mm] &gt;&gt; 31 | for article number &gt;&gt; 3262</t>
  </si>
  <si>
    <t>RENAULT &gt;&gt; 8200680860 | RENAULT &gt;&gt; 8200790630 | RENAULT &gt;&gt; 8200902797 | RENAULT &gt;&gt; 8200828530 | RENAULT &gt;&gt; 8200846753 | RENAULT TRUCKS &gt;&gt; 8200790630 | RENAULT TRUCKS &gt;&gt; 8200902797 | RENAULT TRUCKS &gt;&gt; 8200846753 | RENAULT TRUCKS &gt;&gt; 8200680860 | RENAULT TRUCKS &gt;&gt; 8200828530 | LuK &gt;&gt; 510012010 | SACHS &gt;&gt; 3182600168 | FTE &gt;&gt; ZA260871 | QUINTON HAZELL &gt;&gt; CSC069 | NK &gt;&gt; 143901 | TRW &gt;&gt; PJQ179 | SAMKO &gt;&gt; M30249</t>
  </si>
  <si>
    <t>for article number &gt;&gt; 3473 | Bore O [mm] &gt;&gt; 26 | Material &gt;&gt; Aluminium</t>
  </si>
  <si>
    <t>ALFA ROMEO &gt;&gt; 55224015 | ALFA ROMEO &gt;&gt; 55232693 | FIAT &gt;&gt; 55224015 | FIAT &gt;&gt; 55240571 | FIAT &gt;&gt; 55232693 | OPEL &gt;&gt; 679060 | OPEL &gt;&gt; 679124 | VALEO &gt;&gt; 804581 | SACHS &gt;&gt; 3182600205 | MALO &gt;&gt; 88633 | SAMKO &gt;&gt; M30445 | OPEN PARTS &gt;&gt; FSC408310 | NUOVA TECNODELTA &gt;&gt; 9933C</t>
  </si>
  <si>
    <t>Bore O [mm] &gt;&gt; 31 | Material &gt;&gt; Aluminium | for article number &gt;&gt; 3475</t>
  </si>
  <si>
    <t>OPEL &gt;&gt; 4421631 | OPEL &gt;&gt; 95507609 | RENAULT &gt;&gt; 8201035313 | RENAULT TRUCKS &gt;&gt; 8201035313 | LuK &gt;&gt; 510022510 | SACHS &gt;&gt; 3182600195 | FTE &gt;&gt; ZA3104236 | QUINTON HAZELL &gt;&gt; CSC082 | TRW &gt;&gt; PJQ230 | TRW &gt;&gt; PJQ225 | MALO &gt;&gt; 88654 | SAMKO &gt;&gt; M30447 | NUOVA TECNODELTA &gt;&gt; 9969C</t>
  </si>
  <si>
    <t>Wheel Brake Cylinder</t>
  </si>
  <si>
    <t>Fitting Position &gt;&gt; Rear Axle Left | for article number &gt;&gt; 5197 | Bore O [mm] &gt;&gt; 23,81 | Material &gt;&gt; Cast Iron</t>
  </si>
  <si>
    <t>FORD &gt;&gt; 85TU2261A | TRUSTING &gt;&gt; CF703 | fri.tech. &gt;&gt; CF703 | SAMKO &gt;&gt; C31189 | NUOVA TECNODELTA &gt;&gt; 4407</t>
  </si>
  <si>
    <t>for article number &gt;&gt; 5198 | Fitting Position &gt;&gt; Rear Axle Right | Bore O [mm] &gt;&gt; 23,81 | Material &gt;&gt; Cast Iron</t>
  </si>
  <si>
    <t>FORD &gt;&gt; 85TU2262A | TRUSTING &gt;&gt; CF704 | fri.tech. &gt;&gt; CF704 | SAMKO &gt;&gt; C31190 | NUOVA TECNODELTA &gt;&gt; 4408</t>
  </si>
  <si>
    <t>Bore O [mm] &gt;&gt; 20,64 | for article number &gt;&gt; 5236 | Material &gt;&gt; Aluminium</t>
  </si>
  <si>
    <t>FORD &gt;&gt; 1782880 | SAMKO &gt;&gt; C31224 | NUOVA TECNODELTA &gt;&gt; 4420</t>
  </si>
  <si>
    <t>Bore O [mm] &gt;&gt; 17,5 | Material &gt;&gt; Aluminium | for article number &gt;&gt; 5237 | Brake System &gt;&gt; Bosch</t>
  </si>
  <si>
    <t>CITROEN &gt;&gt; 1612440280 | CITROEN &gt;&gt; 16124402 | TOYOTA &gt;&gt; 4755009140 | METELLI &gt;&gt; 041073 | CIFAM &gt;&gt; 1011073 | SAMKO &gt;&gt; C31225 | NUOVA TECNODELTA &gt;&gt; 4212</t>
  </si>
  <si>
    <t>Bore O [mm] &gt;&gt; 15,87 | Brake System &gt;&gt; NABCO | for article number &gt;&gt; 5245</t>
  </si>
  <si>
    <t>NISSAN &gt;&gt; 4410035G11 | NISSAN &gt;&gt; 4410035G10 | DELPHI &gt;&gt; LW60822 | METELLI &gt;&gt; 040554 | NK &gt;&gt; 802236 | TRUSTING &gt;&gt; CF521 | TRW &gt;&gt; BWB135 | NIPPARTS &gt;&gt; J3231075 | fri.tech. &gt;&gt; CF521 | CIFAM &gt;&gt; 101554 | SAMKO &gt;&gt; C31233 | BLUE PRINT &gt;&gt; ADN14435</t>
  </si>
  <si>
    <t>Bore O [mm] &gt;&gt; 22,2 | for article number &gt;&gt; 5246 | Brake System &gt;&gt; NISSIN</t>
  </si>
  <si>
    <t>MITSUBISHI &gt;&gt; 4610A008 | DELPHI &gt;&gt; LW90117 | METELLI &gt;&gt; 040974 | TRW &gt;&gt; BWH420 | NIPPARTS &gt;&gt; N3235093 | CIFAM &gt;&gt; 101974 | SAMKO &gt;&gt; C31234 | BLUE PRINT &gt;&gt; ADC44446</t>
  </si>
  <si>
    <t>Bore O [mm] &gt;&gt; 22,2 | for article number &gt;&gt; 5247 | Brake System &gt;&gt; NISSIN</t>
  </si>
  <si>
    <t>MITSUBISHI &gt;&gt; 4610A009 | METELLI &gt;&gt; 040975 | TRW &gt;&gt; BWH421 | NIPPARTS &gt;&gt; N3245093 | CIFAM &gt;&gt; 101975 | SAMKO &gt;&gt; C31235 | BLUE PRINT &gt;&gt; ADC44432</t>
  </si>
  <si>
    <t>for article number &gt;&gt; 5266 | Bore O [mm] &gt;&gt; 19,05</t>
  </si>
  <si>
    <t>SUBARU &gt;&gt; 26705FG000 | METELLI &gt;&gt; 041059 | TRW &gt;&gt; BWD363 | CIFAM &gt;&gt; 1011059 | SAMKO &gt;&gt; C31238 | BLUE PRINT &gt;&gt; ADS74416</t>
  </si>
  <si>
    <t>for article number &gt;&gt; 5267 | Bore O [mm] &gt;&gt; 20,64</t>
  </si>
  <si>
    <t>SUBARU &gt;&gt; 26705AE000 | METELLI &gt;&gt; 041038 | CIFAM &gt;&gt; 1011038 | SAMKO &gt;&gt; C31237</t>
  </si>
  <si>
    <t>Bore O [mm] &gt;&gt; 17,46 | for article number &gt;&gt; 5268 | Brake System &gt;&gt; NISSIN</t>
  </si>
  <si>
    <t>DAIHATSU &gt;&gt; 4756097504 | DAIHATSU &gt;&gt; 4756087520 | DAIHATSU &gt;&gt; 47560B2010 | METELLI &gt;&gt; 040986 | TRW &gt;&gt; BWA159 | TRW &gt;&gt; BWA156 | NIPPARTS &gt;&gt; N3236049 | APEC braking &gt;&gt; BCY1327 | CIFAM &gt;&gt; 101986 | SAMKO &gt;&gt; C31236 | BLUE PRINT &gt;&gt; ADD64451 | BLUE PRINT &gt;&gt; ADD64450C</t>
  </si>
  <si>
    <t>Bore O [mm] &gt;&gt; 19 | for article number &gt;&gt; 6018</t>
  </si>
  <si>
    <t>DAIHATSU &gt;&gt; 4720192270 | DAIHATSU &gt;&gt; 472019227000 | DAIHATSU &gt;&gt; 4720197204000 | DAIHATSU &gt;&gt; 4720197238000 | DAIHATSU &gt;&gt; 4720197238 | DAIHATSU &gt;&gt; 4720197204 | DAIHATSU &gt;&gt; 4720197227000 | DAIHATSU &gt;&gt; 4720197227 | DAIHATSU &gt;&gt; 4720197203 | DAIHATSU &gt;&gt; 4720197203000 | DAIHATSU &gt;&gt; 4720197210000 | DAIHATSU &gt;&gt; 4720197210 | DAIHATSU &gt;&gt; 4720197209 | DAIHATSU &gt;&gt; 4720197209000 | TRW &gt;&gt; PMD410 | TRW &gt;&gt; PMD409 | NIPPARTS &gt;&gt; J3106021 | NIPPARTS &gt;&gt; J3106022 | GIRLING &gt;&gt; 4004409 | SAMKO &gt;&gt; P30554</t>
  </si>
  <si>
    <t>Brake System &gt;&gt; Bosch | Bore O [mm] &gt;&gt; 20,64 | for article number &gt;&gt; 6019</t>
  </si>
  <si>
    <t>FORD &gt;&gt; 1550233 | FORD &gt;&gt; 1746594 | FORD &gt;&gt; 8V512140BA | FORD &gt;&gt; 8V512140BB | BOSCH &gt;&gt; 0204123807 | SAMKO &gt;&gt; P30555</t>
  </si>
  <si>
    <t>Bore O [mm] &gt;&gt; 25,4 | Material &gt;&gt; Aluminium | for article number &gt;&gt; 6039</t>
  </si>
  <si>
    <t>IVECO &gt;&gt; 42568306 | BOSCH &gt;&gt; 0204123775 | SAMKO &gt;&gt; P30575 | NUOVA TECNODELTA &gt;&gt; 6502</t>
  </si>
  <si>
    <t>Brake System &gt;&gt; Bosch | for article number &gt;&gt; 6055 | Thread Size &gt;&gt; 12 X 1 (2) | Bore O [mm] &gt;&gt; 23,8 | Material &gt;&gt; Aluminium</t>
  </si>
  <si>
    <t>FIAT &gt;&gt; 77365867 | BOSCH &gt;&gt; 0204123821 | SAMKO &gt;&gt; P30591 | NUOVA TECNODELTA &gt;&gt; 6119</t>
  </si>
  <si>
    <t>Bore O [mm] &gt;&gt; 22,22 | for article number &gt;&gt; 6056 | Sensor Type &gt;&gt; Hall Sensor | Brake System &gt;&gt; ATE</t>
  </si>
  <si>
    <t>AUDI &gt;&gt; 1K1614019D | AUDI &gt;&gt; 1K1614019K | SEAT &gt;&gt; 1K1614019D | SEAT &gt;&gt; 1K1614019K | SKODA &gt;&gt; 1K1614019D | SKODA &gt;&gt; 1K1614019K | VW &gt;&gt; 1K1614019D | VW &gt;&gt; 1K1614019K | ATE &gt;&gt; 010799 | ATE &gt;&gt; 03212221293 | METELLI &gt;&gt; 050720 | CIFAM &gt;&gt; 202720 | SAMKO &gt;&gt; P30592 | NUOVA TECNODELTA &gt;&gt; 5067</t>
  </si>
  <si>
    <t>Material &gt;&gt; Aluminium | for article number &gt;&gt; 6102 | Bore O [mm] &gt;&gt; 20,64</t>
  </si>
  <si>
    <t>PEUGEOT &gt;&gt; 4601W6 | TOYOTA &gt;&gt; 4702509030 | BOSCH &gt;&gt; 0204123787 | METELLI &gt;&gt; 050787 | TRUSTING &gt;&gt; PF794 | fri.tech. &gt;&gt; PF794 | CIFAM &gt;&gt; 202787 | MALO &gt;&gt; 90524 | SAMKO &gt;&gt; P30638 | NUOVA TECNODELTA &gt;&gt; 6802</t>
  </si>
  <si>
    <t>Material &gt;&gt; Aluminium | for article number &gt;&gt; 6103 | Bore O [mm] &gt;&gt; 20,64</t>
  </si>
  <si>
    <t>PEUGEOT &gt;&gt; 4601R4 | TOYOTA &gt;&gt; 4702509020 | TOYOTA &gt;&gt; 4720009020 | BOSCH &gt;&gt; 0204123666 | SAMKO &gt;&gt; P30639 | NUOVA TECNODELTA &gt;&gt; 6803</t>
  </si>
  <si>
    <t>Bore O [mm] &gt;&gt; 22,2 | Material &gt;&gt; Aluminium | for article number &gt;&gt; 6104</t>
  </si>
  <si>
    <t>OPEL &gt;&gt; 4709779 | SUZUKI &gt;&gt; 5110062J10 | VAUXHALL &gt;&gt; 93195180 | BOSCH &gt;&gt; 0204054366 | BOSCH &gt;&gt; 0204051326 | METELLI &gt;&gt; 050740 | NIPPARTS &gt;&gt; N3108042 | CIFAM &gt;&gt; 202740 | SAMKO &gt;&gt; P30640 | NUOVA TECNODELTA &gt;&gt; 6308</t>
  </si>
  <si>
    <t>Bore O [mm] &gt;&gt; 22,2 | Material &gt;&gt; Aluminium | for article number &gt;&gt; 6105</t>
  </si>
  <si>
    <t>OPEL &gt;&gt; 4709780 | SUZUKI &gt;&gt; 5110057K00 | VAUXHALL &gt;&gt; 93195181 | BOSCH &gt;&gt; 0204051578 | BOSCH &gt;&gt; 0204720435 | BOSCH &gt;&gt; 0204054376 | METELLI &gt;&gt; 050757 | NIPPARTS &gt;&gt; N3108041 | CIFAM &gt;&gt; 202757 | SAMKO &gt;&gt; P30641 | NUOVA TECNODELTA &gt;&gt; 6305</t>
  </si>
  <si>
    <t>Bore O [mm] &gt;&gt; 22,2 | for article number &gt;&gt; 6106 | Material &gt;&gt; Aluminium</t>
  </si>
  <si>
    <t>OPEL &gt;&gt; 4709783 | SUZUKI &gt;&gt; 5110062J30 | VAUXHALL &gt;&gt; 93195184 | BOSCH &gt;&gt; 0204051327 | BOSCH &gt;&gt; 0204054379 | SAMKO &gt;&gt; P30642 | NUOVA TECNODELTA &gt;&gt; 6307</t>
  </si>
  <si>
    <t>Bore O [mm] &gt;&gt; 22,2 | Material &gt;&gt; Aluminium | for article number &gt;&gt; 6107</t>
  </si>
  <si>
    <t>OPEL &gt;&gt; 4709784 | SUZUKI &gt;&gt; 5110057K20 | VAUXHALL &gt;&gt; 93195185 | BOSCH &gt;&gt; 0204720437 | BOSCH &gt;&gt; 0204051576 | BOSCH &gt;&gt; 0204054382 | SAMKO &gt;&gt; P30643 | NUOVA TECNODELTA &gt;&gt; 6306</t>
  </si>
  <si>
    <t>Bore O [mm] &gt;&gt; 20,64 | for article number &gt;&gt; 6108</t>
  </si>
  <si>
    <t>FORD &gt;&gt; 1550274 | FORD &gt;&gt; 1754836 | FORD &gt;&gt; 8V512140CA | FORD &gt;&gt; 8V512140CB | BOSCH &gt;&gt; 0204788353 | SAMKO &gt;&gt; P30644</t>
  </si>
  <si>
    <t>for article number &gt;&gt; 6109 | Bore O [mm] &gt;&gt; 20,64</t>
  </si>
  <si>
    <t>FORD &gt;&gt; 1751644 | FORD &gt;&gt; 1550276 | FORD &gt;&gt; 8V512140DA | FORD &gt;&gt; 6C1129397ACM5AB | FORD &gt;&gt; 8V512140DB | FORD &gt;&gt; 1751664 | BOSCH &gt;&gt; 0204123789 | BOSCH &gt;&gt; 0204788355 | SAMKO &gt;&gt; P30645</t>
  </si>
  <si>
    <t>Brake System &gt;&gt; FTE | for article number &gt;&gt; 6110 | Bore O [mm] &gt;&gt; 22,2 | Material &gt;&gt; Aluminium</t>
  </si>
  <si>
    <t>VW &gt;&gt; 1K1614019M | METELLI &gt;&gt; 050833 | CIFAM &gt;&gt; 202833 | SAMKO &gt;&gt; P30646</t>
  </si>
  <si>
    <t>Bore O [mm] &gt;&gt; 20,64 | for article number &gt;&gt; 6137</t>
  </si>
  <si>
    <t>CHEVROLET &gt;&gt; 94566233 | DAEWOO &gt;&gt; 427771 | DAEWOO &gt;&gt; 93741036 | METELLI &gt;&gt; 050433 | CIFAM &gt;&gt; 202433 | SAMKO &gt;&gt; P30672</t>
  </si>
  <si>
    <t>Bore O [mm] &gt;&gt; 22,2 | for article number &gt;&gt; 6138</t>
  </si>
  <si>
    <t>HYUNDAI &gt;&gt; 585101H200 | METELLI &gt;&gt; 050825 | CIFAM &gt;&gt; 202825 | SAMKO &gt;&gt; P30664</t>
  </si>
  <si>
    <t>Bore O [mm] &gt;&gt; 20,64 | Brake System &gt;&gt; ATE | for article number &gt;&gt; 6139</t>
  </si>
  <si>
    <t>JEEP &gt;&gt; 5175093AA | JEEP VIASA &gt;&gt; 5175093AA | METELLI &gt;&gt; 050810 | CIFAM &gt;&gt; 202810 | SAMKO &gt;&gt; P30658</t>
  </si>
  <si>
    <t>Bore O [mm] &gt;&gt; 25,4 | for article number &gt;&gt; 6140 | Brake System &gt;&gt; MANDO</t>
  </si>
  <si>
    <t>HYUNDAI &gt;&gt; 585103K300 | METELLI &gt;&gt; 050819 | CIFAM &gt;&gt; 202819 | SAMKO &gt;&gt; P30661</t>
  </si>
  <si>
    <t>Bore O [mm] &gt;&gt; 22,2 | for article number &gt;&gt; 6141 | Brake System &gt;&gt; ATE</t>
  </si>
  <si>
    <t>VW &gt;&gt; 3C1614019 | VW &gt;&gt; 3C1614019B | VW &gt;&gt; 3C1614019D | ATE &gt;&gt; 010814 | ATE &gt;&gt; 03415201163 | METELLI &gt;&gt; 050743 | TRW &gt;&gt; PMH968 | CIFAM &gt;&gt; 202743 | SAMKO &gt;&gt; P30653</t>
  </si>
  <si>
    <t>Bore O [mm] &gt;&gt; 19,05 | for article number &gt;&gt; 6142 | Brake System &gt;&gt; NISSIN</t>
  </si>
  <si>
    <t>HONDA &gt;&gt; 46100SNAA01 | ATE &gt;&gt; 010876 | ATE &gt;&gt; 24211917093 | METELLI &gt;&gt; 050813 | CIFAM &gt;&gt; 202813 | SAMKO &gt;&gt; P30659</t>
  </si>
  <si>
    <t>Bore O [mm] &gt;&gt; 22,2 | for article number &gt;&gt; 6143 | Brake System &gt;&gt; KASCO</t>
  </si>
  <si>
    <t>KIA &gt;&gt; 58510FD100 | METELLI &gt;&gt; 050823 | NIPPARTS &gt;&gt; J3100315 | CIFAM &gt;&gt; 202823 | SAMKO &gt;&gt; P30663 | BLUE PRINT &gt;&gt; ADG05157</t>
  </si>
  <si>
    <t>Bore O [mm] &gt;&gt; 22,2 | for article number &gt;&gt; 6144 | Brake System &gt;&gt; JKC</t>
  </si>
  <si>
    <t>TOYOTA &gt;&gt; 4720752041 | METELLI &gt;&gt; 050831 | CIFAM &gt;&gt; 202831 | SAMKO &gt;&gt; P30669</t>
  </si>
  <si>
    <t>for article number &gt;&gt; 1710 | Bore O [mm] &gt;&gt; 20,64</t>
  </si>
  <si>
    <t>TOYOTA &gt;&gt; 4720752021 | METELLI &gt;&gt; 050520 | NIPPARTS &gt;&gt; J3102111 | CIFAM &gt;&gt; 202520 | SAMKO &gt;&gt; P99011</t>
  </si>
  <si>
    <t>Bore O [mm] &gt;&gt; 23,81 | Thread Size &gt;&gt; 12 x 1 (2) | Material &gt;&gt; Aluminium | for article number &gt;&gt; 1762 | Brake System &gt;&gt; Bosch</t>
  </si>
  <si>
    <t>CITROEN &gt;&gt; 4601P8 | PEUGEOT &gt;&gt; 4601P8 | ATE &gt;&gt; 24212317573 | BOSCH &gt;&gt; F026003644 | BOSCH &gt;&gt; 0204123644 | FTE &gt;&gt; H23912771 | METELLI &gt;&gt; 050738 | CIFAM &gt;&gt; 202738 | SAMKO &gt;&gt; P30472</t>
  </si>
  <si>
    <t>for article number &gt;&gt; 1763 | Bore O [mm] &gt;&gt; 23,81 | Brake System &gt;&gt; ATE</t>
  </si>
  <si>
    <t>AUDI &gt;&gt; 1K1614019L | AUDI &gt;&gt; 1K1614019E | SEAT &gt;&gt; 1K1614019E | SEAT &gt;&gt; 1K1614019L | SKODA &gt;&gt; 1K1614019E | SKODA &gt;&gt; 1K1614019L | VW &gt;&gt; 1K1614019L | VW &gt;&gt; 1K1614019E | VW &gt;&gt; 1K1614019A | ATE &gt;&gt; 010808 | ATE &gt;&gt; 03212334493 | FTE &gt;&gt; H23907371 | METELLI &gt;&gt; 050719 | CIFAM &gt;&gt; 202719 | SAMKO &gt;&gt; P30473</t>
  </si>
  <si>
    <t>for article number &gt;&gt; 1765 | Brake System &gt;&gt; ATE | Material &gt;&gt; Aluminium | Thread Size &gt;&gt; 12 x 1 (2) | Bore O [mm] &gt;&gt; 23,81</t>
  </si>
  <si>
    <t>RENAULT &gt;&gt; 6025371613 | RENAULT &gt;&gt; 7701206922 | RENAULT TRUCKS &gt;&gt; 6025371613 | RENAULT TRUCKS &gt;&gt; 7701206922 | ATE &gt;&gt; 03212326213 | ATE &gt;&gt; 010701 | FTE &gt;&gt; H23913971 | METELLI &gt;&gt; 050687 | TRW &gt;&gt; PMK920 | CIFAM &gt;&gt; 202687 | SAMKO &gt;&gt; P30475</t>
  </si>
  <si>
    <t>for article number &gt;&gt; 1766 | Brake System &gt;&gt; ATE | Bore O [mm] &gt;&gt; 25,4</t>
  </si>
  <si>
    <t>OPEL &gt;&gt; 558148 | OPEL &gt;&gt; 93182937 | ATE &gt;&gt; 010862 | ATE &gt;&gt; 03415501563 | FTE &gt;&gt; H25901371 | METELLI &gt;&gt; 050571 | TRW &gt;&gt; PML534 | CIFAM &gt;&gt; 202571 | SAMKO &gt;&gt; P30476</t>
  </si>
  <si>
    <t>Bore O [mm] &gt;&gt; 22,2 | Thread Size &gt;&gt; 10 X 1 (4) | Material &gt;&gt; Aluminium | for article number &gt;&gt; 1767 | Brake System &gt;&gt; ATE</t>
  </si>
  <si>
    <t>FORD &gt;&gt; 1106629 | FORD &gt;&gt; YS612140DA | HONDA &gt;&gt; 46100S04A71 | ATE &gt;&gt; 010733 | ATE &gt;&gt; 03212215883 | BENDIX &gt;&gt; 133169B | METELLI &gt;&gt; 050637 | TRUSTING &gt;&gt; PF603 | TRW &gt;&gt; PMH710 | TRW &gt;&gt; PMH910 | GIRLING &gt;&gt; 4006710 | fri.tech. &gt;&gt; PF603 | CIFAM &gt;&gt; 202637 | SAMKO &gt;&gt; P30477</t>
  </si>
  <si>
    <t>Bore O [mm] &gt;&gt; 22,2 | for article number &gt;&gt; 1771</t>
  </si>
  <si>
    <t>CHEVROLET &gt;&gt; 96418831 | DAEWOO &gt;&gt; 96418831 | METELLI &gt;&gt; 050722 | NIPPARTS &gt;&gt; N3100926 | CIFAM &gt;&gt; 202722 | SAMKO &gt;&gt; P30481</t>
  </si>
  <si>
    <t>Bore O [mm] &gt;&gt; 25,4 | for article number &gt;&gt; 1776 | Brake System &gt;&gt; ATE</t>
  </si>
  <si>
    <t>OPEL &gt;&gt; 558404 | CHEVROLET &gt;&gt; 13286445 | ATE &gt;&gt; 010934 | ATE &gt;&gt; 03212504213 | FTE &gt;&gt; H25902471 | METELLI &gt;&gt; 050811 | TRW &gt;&gt; PML501 | TRW &gt;&gt; PML491 | CIFAM &gt;&gt; 202811 | SAMKO &gt;&gt; P30486</t>
  </si>
  <si>
    <t>Bore O [mm] &gt;&gt; 23,81 | for article number &gt;&gt; 1778 | Brake System &gt;&gt; ATE</t>
  </si>
  <si>
    <t>VW &gt;&gt; 3C1614019A | VW &gt;&gt; 3C1614019C | VW &gt;&gt; 3C1614019E | ATE &gt;&gt; 010816 | ATE &gt;&gt; 03415301863 | METELLI &gt;&gt; 050742 | TRW &gt;&gt; PMK906 | CIFAM &gt;&gt; 202742 | SAMKO &gt;&gt; P30488</t>
  </si>
  <si>
    <t>for article number &gt;&gt; 2156</t>
  </si>
  <si>
    <t>EBRO &gt;&gt; 164001730 | BREMBO &gt;&gt; C56008 | BRECO &gt;&gt; C56008 | VILLAR &gt;&gt; 6223327 | SAMKO &gt;&gt; F30061</t>
  </si>
  <si>
    <t>Material &gt;&gt; Cast Iron | for article number &gt;&gt; 2159 | Thread Size &gt;&gt; 14 x 1,5 | Mounting bores distance [mm] &gt;&gt; 60</t>
  </si>
  <si>
    <t>ENASA &gt;&gt; 923234 | BREMBO &gt;&gt; CB7004 | BRECO &gt;&gt; CB7004 | VILLAR &gt;&gt; 6223378 | SAMKO &gt;&gt; F30064</t>
  </si>
  <si>
    <t>Clutch Hose</t>
  </si>
  <si>
    <t>for article number &gt;&gt; 6T47331 | Thread Measurement 1 &gt;&gt; M3/8 - 24 | Thread Measurement 2 &gt;&gt; 5/8-18 / 3/8-24 | Length [mm] &gt;&gt; 200</t>
  </si>
  <si>
    <t>ROVER &gt;&gt; 13H300 | BOSCH &gt;&gt; 1987476576 | FTE &gt;&gt; 170428E0 | BREMBO &gt;&gt; T52043 | DELPHI &gt;&gt; LH5147 | CEF &gt;&gt; 510359 | BRECO &gt;&gt; T52043 | Brake ENGINEERING &gt;&gt; BH775147 | SAMKO &gt;&gt; 6T47331</t>
  </si>
  <si>
    <t>for article number &gt;&gt; 6145 | Bore O [mm] &gt;&gt; 20,64</t>
  </si>
  <si>
    <t>MITSUBISHI &gt;&gt; MB857390 | BOSCH &gt;&gt; 0986480662 | METELLI &gt;&gt; 050827 | TRW &gt;&gt; PMF452 | NIPPARTS &gt;&gt; J3105016 | APEC braking &gt;&gt; MCY213 | CIFAM &gt;&gt; 202827 | SAMKO &gt;&gt; P30666</t>
  </si>
  <si>
    <t>for article number &gt;&gt; 6146 | Bore O [mm] &gt;&gt; 22,2</t>
  </si>
  <si>
    <t>HYUNDAI &gt;&gt; 5851029315 | HYUNDAI &gt;&gt; 5851029310 | METELLI &gt;&gt; 050763 | NK &gt;&gt; 823403 | TRW &gt;&gt; PMH609 | NIPPARTS &gt;&gt; J3100503 | CIFAM &gt;&gt; 202763 | SAMKO &gt;&gt; P30655 | BLUE PRINT &gt;&gt; ADG05139</t>
  </si>
  <si>
    <t>Bore O [mm] &gt;&gt; 20,64 | for article number &gt;&gt; 6147</t>
  </si>
  <si>
    <t>CHEVROLET &gt;&gt; 93741035 | CHEVROLET &gt;&gt; 427767 | CHEVROLET &gt;&gt; 96963071 | DAEWOO &gt;&gt; 93741035 | DAEWOO &gt;&gt; 427767 | METELLI &gt;&gt; 050335 | TRW &gt;&gt; PMF421 | CIFAM &gt;&gt; 202335 | SAMKO &gt;&gt; P30671 | BLUE PRINT &gt;&gt; ADG05126 | BLUE PRINT &gt;&gt; ADG05102</t>
  </si>
  <si>
    <t>Bore O [mm] &gt;&gt; 22,2 | for article number &gt;&gt; 6148 | Brake System &gt;&gt; ADVICS</t>
  </si>
  <si>
    <t>LEXUS &gt;&gt; 4702830030 | METELLI &gt;&gt; 050830 | CIFAM &gt;&gt; 202830 | SAMKO &gt;&gt; P30668</t>
  </si>
  <si>
    <t>for article number &gt;&gt; 6149 | Bore O [mm] &gt;&gt; 25,4</t>
  </si>
  <si>
    <t>NISSAN &gt;&gt; D60101AA1B | METELLI &gt;&gt; 050828 | CIFAM &gt;&gt; 202828 | SAMKO &gt;&gt; P30667</t>
  </si>
  <si>
    <t>Bore O [mm] &gt;&gt; 26,99 | for article number &gt;&gt; 6150</t>
  </si>
  <si>
    <t>CHRYSLER &gt;&gt; 4721447AB | METELLI &gt;&gt; 050580 | CIFAM &gt;&gt; 202580 | SAMKO &gt;&gt; P30650</t>
  </si>
  <si>
    <t>Bore O [mm] &gt;&gt; 26,99 | for article number &gt;&gt; 6151 | Brake System &gt;&gt; MANDO</t>
  </si>
  <si>
    <t>HYUNDAI &gt;&gt; 585102B800 | METELLI &gt;&gt; 050821 | CIFAM &gt;&gt; 202821 | SAMKO &gt;&gt; P30662</t>
  </si>
  <si>
    <t>Bore O [mm] &gt;&gt; 20,64 | for article number &gt;&gt; 6152</t>
  </si>
  <si>
    <t>SUZUKI &gt;&gt; 5110080G71 | TOYOTA &gt;&gt; 4720752011 | METELLI &gt;&gt; 050384 | NIPPARTS &gt;&gt; J3102112 | CIFAM &gt;&gt; 202384 | SAMKO &gt;&gt; P30670</t>
  </si>
  <si>
    <t>for article number &gt;&gt; 6153 | Brake System &gt;&gt; NABCO | Bore O [mm] &gt;&gt; 23,81</t>
  </si>
  <si>
    <t>MITSUBISHI &gt;&gt; MB857393 | DELPHI &gt;&gt; LM39099 | METELLI &gt;&gt; 050337 | TRUSTING &gt;&gt; PF259 | TRW &gt;&gt; PMK507 | NIPPARTS &gt;&gt; J3105017 | fri.tech. &gt;&gt; PF259 | CIFAM &gt;&gt; 202337 | SAMKO &gt;&gt; P30649</t>
  </si>
  <si>
    <t>Bore O [mm] &gt;&gt; 25,4 | for article number &gt;&gt; 6154 | Brake System &gt;&gt; ATE</t>
  </si>
  <si>
    <t>MAZDA &gt;&gt; B3YF4340ZA | METELLI &gt;&gt; 050826 | CIFAM &gt;&gt; 202826 | SAMKO &gt;&gt; P30665</t>
  </si>
  <si>
    <t>Bore O [mm] &gt;&gt; 25,4 | for article number &gt;&gt; 6155 | Brake System &gt;&gt; ATE</t>
  </si>
  <si>
    <t>SEAT &gt;&gt; 7M3611019D | SEAT &gt;&gt; 7M3611019B | METELLI &gt;&gt; 050609 | CIFAM &gt;&gt; 202609 | SAMKO &gt;&gt; P30651</t>
  </si>
  <si>
    <t>for article number &gt;&gt; 6156 | Brake System &gt;&gt; MANDO | Bore O [mm] &gt;&gt; 25,4</t>
  </si>
  <si>
    <t>HYUNDAI &gt;&gt; 585102E500 | METELLI &gt;&gt; 050818 | NIPPARTS &gt;&gt; J3100540 | CIFAM &gt;&gt; 202818 | SAMKO &gt;&gt; P30660</t>
  </si>
  <si>
    <t>for article number &gt;&gt; 6157 | Bore O [mm] &gt;&gt; 20,64</t>
  </si>
  <si>
    <t>TOYOTA &gt;&gt; 4720109170 | TOYOTA &gt;&gt; 4720109171 | TOYOTA &gt;&gt; 4720152330 | ATE &gt;&gt; 010885 | ATE &gt;&gt; 03415200583 | METELLI &gt;&gt; 050710 | TRW &gt;&gt; PMH967 | NIPPARTS &gt;&gt; N3102161 | CIFAM &gt;&gt; 202710 | SAMKO &gt;&gt; P30652</t>
  </si>
  <si>
    <t>Bore O [mm] &gt;&gt; 23,8 | for article number &gt;&gt; 6158 | Brake System &gt;&gt; ATE</t>
  </si>
  <si>
    <t>AUDI &gt;&gt; 8N1614019 | ATE &gt;&gt; 010801 | ATE &gt;&gt; 03212326543 | METELLI &gt;&gt; 050775 | CIFAM &gt;&gt; 202775 | SAMKO &gt;&gt; P30656</t>
  </si>
  <si>
    <t>Bore O [mm] &gt;&gt; 20,64 | for article number &gt;&gt; 6159</t>
  </si>
  <si>
    <t>HONDA &gt;&gt; 46100S04J02 | HONDA &gt;&gt; 46100S04J01 | HONDA &gt;&gt; 46100S04J11 | HONDA &gt;&gt; 46100S04J04 | HONDA &gt;&gt; 46100SX8T02 | HONDA &gt;&gt; 46100S04J12 | HONDA &gt;&gt; 46100S04J03 | HONDA &gt;&gt; 46100SX8T01 | HONDA &gt;&gt; 46100S04J14 | HONDA &gt;&gt; 46100S04J13 | METELLI &gt;&gt; 050758 | TRW &gt;&gt; PMF722 | TRW &gt;&gt; PMH724 | TRW &gt;&gt; PMH924 | CIFAM &gt;&gt; 202758 | SAMKO &gt;&gt; P30654 | BLUE PRINT &gt;&gt; ADH25105</t>
  </si>
  <si>
    <t>Bore O [mm] &gt;&gt; 22,2 | Material &gt;&gt; Aluminium | for article number &gt;&gt; 6161 | Brake System &gt;&gt; ATE</t>
  </si>
  <si>
    <t>RENAULT &gt;&gt; 6001551314 | DACIA &gt;&gt; 6001551314 | RENAULT TRUCKS &gt;&gt; 6001551314 | ATE &gt;&gt; 010938 | ATE &gt;&gt; 03212220313 | TRW &gt;&gt; PMH897 | SAMKO &gt;&gt; P30697 | NUOVA TECNODELTA &gt;&gt; 5664</t>
  </si>
  <si>
    <t>for article number &gt;&gt; 6162 | Brake System &gt;&gt; ATE | Material &gt;&gt; Aluminium | Bore O [mm] &gt;&gt; 20,64</t>
  </si>
  <si>
    <t>RENAULT &gt;&gt; 6001551313 | DACIA &gt;&gt; 6001551313 | RENAULT TRUCKS &gt;&gt; 6001551313 | ATE &gt;&gt; 010937 | ATE &gt;&gt; 03212046113 | TRW &gt;&gt; PMA105 | SAMKO &gt;&gt; P30698 | NUOVA TECNODELTA &gt;&gt; 5665</t>
  </si>
  <si>
    <t>Material &gt;&gt; Aluminium | for article number &gt;&gt; 6163 | Bore O [mm] &gt;&gt; 22,2</t>
  </si>
  <si>
    <t>FIAT &gt;&gt; 77364950 | BOSCH &gt;&gt; 0204123784 | SAMKO &gt;&gt; P30699 | NUOVA TECNODELTA &gt;&gt; 6123</t>
  </si>
  <si>
    <t>Brake System &gt;&gt; TRW | Bore O [mm] &gt;&gt; 23,8 | Material &gt;&gt; Aluminium | for article number &gt;&gt; 6164</t>
  </si>
  <si>
    <t>PEUGEOT &gt;&gt; 4601V9 | ATE &gt;&gt; 24412317143 | TRW &gt;&gt; PMA133 | SAMKO &gt;&gt; P30700 | NUOVA TECNODELTA &gt;&gt; 6901</t>
  </si>
  <si>
    <t>Brake System &gt;&gt; TRW | for article number &gt;&gt; 6165 | Material &gt;&gt; Aluminium | Bore O [mm] &gt;&gt; 25,4</t>
  </si>
  <si>
    <t>PEUGEOT &gt;&gt; 4601V8 | TRW &gt;&gt; PMA134 | SAMKO &gt;&gt; P30701 | NUOVA TECNODELTA &gt;&gt; 6902</t>
  </si>
  <si>
    <t>Bore O [mm] &gt;&gt; 22,2 | Material &gt;&gt; Aluminium | for article number &gt;&gt; 6166 | Brake System &gt;&gt; BOSCH</t>
  </si>
  <si>
    <t>PEUGEOT &gt;&gt; 4601T5 | ATE &gt;&gt; 010865 | ATE &gt;&gt; 24412217083 | BOSCH &gt;&gt; 0204123747 | FTE &gt;&gt; H22913471 | METELLI &gt;&gt; 050782 | TRW &gt;&gt; PMH970 | CIFAM &gt;&gt; 202782 | SAMKO &gt;&gt; P30702 | NUOVA TECNODELTA &gt;&gt; 6903</t>
  </si>
  <si>
    <t>Material &gt;&gt; Aluminium | for article number &gt;&gt; 6167 | Bore O [mm] &gt;&gt; 22,2 | Brake System &gt;&gt; BOSCH</t>
  </si>
  <si>
    <t>PEUGEOT &gt;&gt; 4601W8 | BOSCH &gt;&gt; 0204123809 | METELLI &gt;&gt; 050783 | CIFAM &gt;&gt; 202783 | SAMKO &gt;&gt; P30703 | NUOVA TECNODELTA &gt;&gt; 6905</t>
  </si>
  <si>
    <t>Bore O [mm] &gt;&gt; 22,2 | Material &gt;&gt; Aluminium | for article number &gt;&gt; 6168 | Brake System &gt;&gt; BOSCH</t>
  </si>
  <si>
    <t>PEUGEOT &gt;&gt; 4601X0 | BOSCH &gt;&gt; 0204123811 | METELLI &gt;&gt; 050785 | CIFAM &gt;&gt; 202785 | SAMKO &gt;&gt; P30704 | NUOVA TECNODELTA &gt;&gt; 6906</t>
  </si>
  <si>
    <t>for article number &gt;&gt; 6169 | Brake System &gt;&gt; BOSCH | Bore O [mm] &gt;&gt; 23,81 | Material &gt;&gt; Aluminium</t>
  </si>
  <si>
    <t>PEUGEOT &gt;&gt; 4601W9 | BOSCH &gt;&gt; 0204123813 | METELLI &gt;&gt; 050784 | CIFAM &gt;&gt; 202784 | SAMKO &gt;&gt; P30705 | NUOVA TECNODELTA &gt;&gt; 6907</t>
  </si>
  <si>
    <t>Material &gt;&gt; Aluminium | for article number &gt;&gt; 6170 | Brake System &gt;&gt; BOSCH | Bore O [mm] &gt;&gt; 23,81</t>
  </si>
  <si>
    <t>PEUGEOT &gt;&gt; 4601X1 | BOSCH &gt;&gt; 0204123815 | METELLI &gt;&gt; 050786 | CIFAM &gt;&gt; 202786 | SAMKO &gt;&gt; P30706 | NUOVA TECNODELTA &gt;&gt; 6908</t>
  </si>
  <si>
    <t>Bore O [mm] &gt;&gt; 22,2 | Thread Size &gt;&gt; 12 X 1 (2) | for article number &gt;&gt; 6171</t>
  </si>
  <si>
    <t>MITSUBISHI &gt;&gt; 4625A047 | SMART &gt;&gt; 4544300001 | SMART &gt;&gt; A4544300001 | ATE &gt;&gt; 010898 | ATE &gt;&gt; 24212217703 | FTE &gt;&gt; H22906971 | TRW &gt;&gt; PMH580 | SAMKO &gt;&gt; P30707</t>
  </si>
  <si>
    <t>Bore O [mm] &gt;&gt; 23,8 | Brake System &gt;&gt; TRW | Thread Size &gt;&gt; 12 X 1 (2) | for article number &gt;&gt; 6172</t>
  </si>
  <si>
    <t>MERCEDES-BENZ &gt;&gt; 1694300201 | MERCEDES-BENZ &gt;&gt; 1694300101 | MERCEDES-BENZ &gt;&gt; A1694300101 | MERCEDES-BENZ &gt;&gt; 1694300301 | MERCEDES-BENZ &gt;&gt; A1694300301 | MERCEDES-BENZ &gt;&gt; A1694300201 | ATE &gt;&gt; 24212317763 | ATE &gt;&gt; 010926 | FTE &gt;&gt; H23909571 | METELLI &gt;&gt; 050668 | TRW &gt;&gt; PMK367 | CIFAM &gt;&gt; 202668 | SAMKO &gt;&gt; P30708</t>
  </si>
  <si>
    <t>Brake Hose</t>
  </si>
  <si>
    <t>Length [mm] &gt;&gt; 371 | for article number &gt;&gt; 6T47463 | Thread Measurement 1 &gt;&gt; M10X1 | Thread Measurement 2 &gt;&gt; F10X1</t>
  </si>
  <si>
    <t>CITROEN &gt;&gt; 96109018 | BREMBO &gt;&gt; T61072 | BRECO &gt;&gt; T61072 | SAMKO &gt;&gt; 6T47463</t>
  </si>
  <si>
    <t>Thread Measurement 2 &gt;&gt; o 10 | Thread Measurement 1 &gt;&gt; F10X1 | for article number &gt;&gt; 6T47613 | Length [mm] &gt;&gt; 380</t>
  </si>
  <si>
    <t>LEXUS &gt;&gt; 9094702585 | LEXUS &gt;&gt; 9094702738 | PAGID &gt;&gt; 70979 | BREMBO &gt;&gt; T83024 | DELPHI &gt;&gt; LH6502 | CORTECO &gt;&gt; 19032920 | CEF &gt;&gt; 512121 | BRECO &gt;&gt; T83024 | SAMKO &gt;&gt; 6T47613 | BLUE PRINT &gt;&gt; ADT353129</t>
  </si>
  <si>
    <t>for article number &gt;&gt; 6T47634 | Thread Measurement 1 &gt;&gt; F10X1 | Length [mm] &gt;&gt; 368 | Thread Measurement 2 &gt;&gt; o 10</t>
  </si>
  <si>
    <t>LEXUS &gt;&gt; 9094702674 | LEXUS &gt;&gt; 9094702837 | LEXUS &gt;&gt; 9094702F68 | LEXUS &gt;&gt; 9094702873 | LEXUS &gt;&gt; 9094702972 | BREMBO &gt;&gt; T83020 | DELPHI &gt;&gt; LH6762 | TRW &gt;&gt; PHD553 | BRECO &gt;&gt; T83020 | SAMKO &gt;&gt; 6T47634 | BLUE PRINT &gt;&gt; ADT353128</t>
  </si>
  <si>
    <t>Thread Measurement 2 &gt;&gt; o 10 | Fitting Position &gt;&gt; Front Axle | Length [mm] &gt;&gt; 322 | for article number &gt;&gt; 6T47636 | Thread Measurement 1 &gt;&gt; F10X1</t>
  </si>
  <si>
    <t>LEXUS &gt;&gt; 9094702A42 | BREMBO &gt;&gt; T83022 | DELPHI &gt;&gt; LH6762 | TRISCAN &gt;&gt; 815013425 | CORTECO &gt;&gt; 19032919 | BRECO &gt;&gt; T83022 | SAMKO &gt;&gt; 6T47636 | BLUE PRINT &gt;&gt; ADT353151</t>
  </si>
  <si>
    <t>Thread Measurement 2 &gt;&gt; o 10 | Thread Measurement 1 &gt;&gt; F10X1 | for article number &gt;&gt; 6T47640 | Length [mm] &gt;&gt; 348</t>
  </si>
  <si>
    <t>LEXUS &gt;&gt; 9094702A41 | BREMBO &gt;&gt; T83023 | DELPHI &gt;&gt; LH6763 | TRISCAN &gt;&gt; 815013423 | CORTECO &gt;&gt; 19032918 | TRW &gt;&gt; PHD1082 | BRECO &gt;&gt; T83023 | SAMKO &gt;&gt; 6T47640 | BLUE PRINT &gt;&gt; ADT353150</t>
  </si>
  <si>
    <t>for article number &gt;&gt; 6T47651 | Thread Measurement 1 &gt;&gt; F10X1 | Length [mm] &gt;&gt; 490 | Thread Measurement 2 &gt;&gt; o 10</t>
  </si>
  <si>
    <t>BREMBO &gt;&gt; T30010 | BRECO &gt;&gt; T30010 | SAMKO &gt;&gt; 6T47651</t>
  </si>
  <si>
    <t>Length [mm] &gt;&gt; 490 | for article number &gt;&gt; 6T47654 | Thread Measurement 1 &gt;&gt; F10X1 | Thread Measurement 2 &gt;&gt; o 10</t>
  </si>
  <si>
    <t>BREMBO &gt;&gt; T30011 | BRECO &gt;&gt; T30011 | SAMKO &gt;&gt; 6T47654</t>
  </si>
  <si>
    <t>Fitting Position &gt;&gt; Front Axle Right | Length [mm] &gt;&gt; 585 | for article number &gt;&gt; 6T47660 | Thread Measurement 1 &gt;&gt; F10X1 | Thread Measurement 2 &gt;&gt; o 10</t>
  </si>
  <si>
    <t>KIA &gt;&gt; 0K56A43980A | PAGID &gt;&gt; 70608 | BOSCH &gt;&gt; 1987481069 | BENDIX &gt;&gt; 172944B | FTE &gt;&gt; 560E865E13 | QUINTON HAZELL &gt;&gt; BFH5742 | BREMBO &gt;&gt; T30047 | DELPHI &gt;&gt; LH6392 | TRISCAN &gt;&gt; 815018107 | CORTECO &gt;&gt; 19033011 | CEF &gt;&gt; 512266 | TRW &gt;&gt; PHD631 | BRECO &gt;&gt; T30047 | SAMKO &gt;&gt; 6T47660 | BLUE PRINT &gt;&gt; ADG05338</t>
  </si>
  <si>
    <t>Length [mm] &gt;&gt; 350 | Thread Measurement 2 &gt;&gt; o 10 | for article number &gt;&gt; 6T47669 | Thread Measurement 1 &gt;&gt; F3/8 24</t>
  </si>
  <si>
    <t>JEEP &gt;&gt; 29190562 | JEEP &gt;&gt; 52006861 | JEEP &gt;&gt; 52005045 | JEEP &gt;&gt; 52007562AC | JEEP &gt;&gt; 52007562 | JEEP VIASA &gt;&gt; 52006861 | JEEP VIASA &gt;&gt; 52007562AC | JEEP VIASA &gt;&gt; 52005045 | JEEP VIASA &gt;&gt; 52007562 | JEEP VIASA &gt;&gt; 29190562 | FTE &gt;&gt; 350Z014 | BREMBO &gt;&gt; T37001 | DELPHI &gt;&gt; LH0419 | BRECO &gt;&gt; T37001 | MALO &gt;&gt; 80033 | SAMKO &gt;&gt; 6T47669 | BLUE PRINT &gt;&gt; ADA105311</t>
  </si>
  <si>
    <t>Length [mm] &gt;&gt; 715 | for article number &gt;&gt; 6T47676 | Thread Measurement 1 &gt;&gt; F10X1,25 | Thread Measurement 2 &gt;&gt; o 10</t>
  </si>
  <si>
    <t>BREMBO &gt;&gt; T30039 | BRECO &gt;&gt; T30039 | SAMKO &gt;&gt; 6T47676</t>
  </si>
  <si>
    <t>Length [mm] &gt;&gt; 445 | Thread Measurement 2 &gt;&gt; o 10 | Thread Measurement 1 &gt;&gt; F10X1 | for article number &gt;&gt; 6T47680</t>
  </si>
  <si>
    <t>NISSAN &gt;&gt; 462105F007 | BOSCH &gt;&gt; 1987481149 | BREMBO &gt;&gt; T56111 | BRECO &gt;&gt; T56111 | SAMKO &gt;&gt; 6T47680</t>
  </si>
  <si>
    <t>Length [mm] &gt;&gt; 279 | for article number &gt;&gt; 6T47688 | Thread Measurement 1 &gt;&gt; F10X1 | Thread Measurement 2 &gt;&gt; F10X1</t>
  </si>
  <si>
    <t>BREMBO &gt;&gt; T30009 | BRECO &gt;&gt; T30009 | SAMKO &gt;&gt; 6T47688</t>
  </si>
  <si>
    <t>Thread Measurement 1 &gt;&gt; F10X1 | Thread Measurement 2 &gt;&gt; o 10 | Length [mm] &gt;&gt; 472 | for article number &gt;&gt; 6T47694</t>
  </si>
  <si>
    <t>BREMBO &gt;&gt; T30014 | BRECO &gt;&gt; T30014 | SAMKO &gt;&gt; 6T47694</t>
  </si>
  <si>
    <t>Fitting Position &gt;&gt; Front Axle | for article number &gt;&gt; 6T47825 | Thread Measurement 1 &gt;&gt; M3/8-24 | Thread Measurement 2 &gt;&gt; M3/8-24</t>
  </si>
  <si>
    <t>BREMBO &gt;&gt; T52053 | BRECO &gt;&gt; T52053 | SAMKO &gt;&gt; 6T47825</t>
  </si>
  <si>
    <t>for article number &gt;&gt; 6T46642 | Thread Measurement 1 &gt;&gt; M10X1 | Thread Measurement 2 &gt;&gt; M10X1 | Length [mm] &gt;&gt; 498</t>
  </si>
  <si>
    <t>LEYLAND-DAF &gt;&gt; 192893 | LEYLAND-DAF &gt;&gt; AAR3955 | QUINTON HAZELL &gt;&gt; BFH5270 | BREMBO &gt;&gt; TB1004 | DELPHI &gt;&gt; LH5373 | BRECO &gt;&gt; TB1004 | Brake ENGINEERING &gt;&gt; BH775373 | SAMKO &gt;&gt; 6T46642</t>
  </si>
  <si>
    <t>Thread Measurement 2 &gt;&gt; F10X1 | Length [mm] &gt;&gt; 405 | for article number &gt;&gt; 6T46643 | Thread Measurement 1 &gt;&gt; M10X1</t>
  </si>
  <si>
    <t>LEYLAND-DAF &gt;&gt; DAR2523 | BREMBO &gt;&gt; TB1002 | DELPHI &gt;&gt; LH5656 | CORTECO &gt;&gt; 19032522 | BRECO &gt;&gt; TB1002 | Brake ENGINEERING &gt;&gt; BH775656 | SAMKO &gt;&gt; 6T46643</t>
  </si>
  <si>
    <t>for article number &gt;&gt; 6T46824 | Thread Measurement 1 &gt;&gt; F10X1 | Thread Measurement 2 &gt;&gt; M10X1,25 | Length [mm] &gt;&gt; 170</t>
  </si>
  <si>
    <t>MITSUBISHI &gt;&gt; MB004447 | MITSUBISHI &gt;&gt; MB857521 | MITSUBISHI &gt;&gt; MR129740 | HYUNDAI &gt;&gt; 5873311100 | BOSCH &gt;&gt; 1987481197 | BREMBO &gt;&gt; T30032 | TRISCAN &gt;&gt; 815042003 | NK &gt;&gt; 853026 | CEF &gt;&gt; 510150 | TRW &gt;&gt; PHB315 | BRECO &gt;&gt; T30032 | Brake ENGINEERING &gt;&gt; BH772260 | SAMKO &gt;&gt; 6T46824</t>
  </si>
  <si>
    <t>Length [mm] &gt;&gt; 525 | for article number &gt;&gt; 6T46863 | Thread Measurement 1 &gt;&gt; M12X1 | Thread Measurement 2 &gt;&gt; M12X1</t>
  </si>
  <si>
    <t>ALFA ROMEO &gt;&gt; 542371 | ALFA ROMEO &gt;&gt; 546442 | ALFA ROMEO &gt;&gt; 60501245 | ALFA ROMEO &gt;&gt; 549791 | ALFA ROMEO &gt;&gt; 566442 | BREMBO &gt;&gt; T23071 | DELPHI &gt;&gt; LH3278 | CEF &gt;&gt; 516970 | BRECO &gt;&gt; T23071 | Brake ENGINEERING &gt;&gt; BH773278 | MALO &gt;&gt; 8441 | SAMKO &gt;&gt; 6T46863</t>
  </si>
  <si>
    <t>Thread Measurement 2 &gt;&gt; F12X1 | Thread Measurement 1 &gt;&gt; F12X1 | Length [mm] &gt;&gt; 525 | for article number &gt;&gt; 6T46865</t>
  </si>
  <si>
    <t>ALFA ROMEO &gt;&gt; 60502667 | BREMBO &gt;&gt; T23068 | BRECO &gt;&gt; T23068 | MALO &gt;&gt; 8378 | SAMKO &gt;&gt; 6T46865</t>
  </si>
  <si>
    <t>Thread Measurement 2 &gt;&gt; M12X1 | Length [mm] &gt;&gt; 402 | for article number &gt;&gt; 6T46866 | Thread Measurement 1 &gt;&gt; M12X1</t>
  </si>
  <si>
    <t>ALFA ROMEO &gt;&gt; 164201289803 | ALFA ROMEO &gt;&gt; 60511538 | ALFA ROMEO &gt;&gt; 60622815 | ALFA ROMEO &gt;&gt; 60750948 | BREMBO &gt;&gt; T23058 | DELPHI &gt;&gt; LH3283 | CEF &gt;&gt; 517074 | BRECO &gt;&gt; T23058 | SAMKO &gt;&gt; 6T46866</t>
  </si>
  <si>
    <t>Thread Measurement 2 &gt;&gt; M12X1 | Thread Measurement 1 &gt;&gt; M12X1 | for article number &gt;&gt; 6T46872 | Length [mm] &gt;&gt; 390</t>
  </si>
  <si>
    <t>ALFA ROMEO &gt;&gt; 60556927 | ALFA ROMEO &gt;&gt; 71736944 | BREMBO &gt;&gt; T23059 | BRECO &gt;&gt; T23059 | MALO &gt;&gt; 8439 | SAMKO &gt;&gt; 6T46872</t>
  </si>
  <si>
    <t>Length [mm] &gt;&gt; 325 | for article number &gt;&gt; 6T46873 | Thread Measurement 1 &gt;&gt; M12X1 | Thread Measurement 2 &gt;&gt; M12X1</t>
  </si>
  <si>
    <t>ALFA ROMEO &gt;&gt; 60556929 | ALFA ROMEO &gt;&gt; 60622814 | BREMBO &gt;&gt; T23060 | CEF &gt;&gt; 511630 | BRECO &gt;&gt; T23060 | MALO &gt;&gt; 8440 | SAMKO &gt;&gt; 6T46873</t>
  </si>
  <si>
    <t>for article number &gt;&gt; 6T46874 | Thread Measurement 1 &gt;&gt; M12X1 | Length [mm] &gt;&gt; 400 | Thread Measurement 2 &gt;&gt; M12X1</t>
  </si>
  <si>
    <t>ALFA ROMEO &gt;&gt; 60557031 | BREMBO &gt;&gt; T23061 | BRECO &gt;&gt; T23061 | MALO &gt;&gt; 8439 | SAMKO &gt;&gt; 6T46874</t>
  </si>
  <si>
    <t>Length [mm] &gt;&gt; 400 | for article number &gt;&gt; 6T46968 | Thread Measurement 1 &gt;&gt; F12X1 | Thread Measurement 2 &gt;&gt; M12X1</t>
  </si>
  <si>
    <t>FIAT &gt;&gt; 82444203 | BREMBO &gt;&gt; T23125 | CEF &gt;&gt; 511386 | BRECO &gt;&gt; T23125 | MALO &gt;&gt; 8412 | SAMKO &gt;&gt; 6T46968</t>
  </si>
  <si>
    <t>Thread Measurement 2 &gt;&gt; F12X1 | Length [mm] &gt;&gt; 300 | for article number &gt;&gt; 6T46969 | Thread Measurement 1 &gt;&gt; M12X1</t>
  </si>
  <si>
    <t>FIAT &gt;&gt; 7746105 | BREMBO &gt;&gt; T23026 | PIRELLI &gt;&gt; 18007 | BRECO &gt;&gt; T23026 | SAMKO &gt;&gt; 6T46969</t>
  </si>
  <si>
    <t>Length [mm] &gt;&gt; 370 | for article number &gt;&gt; 6T46978 | Thread Measurement 1 &gt;&gt; M20x1,5 | Thread Measurement 2 &gt;&gt; D12</t>
  </si>
  <si>
    <t>IVECO &gt;&gt; 8790849 | IVECO &gt;&gt; 8790840 | BREMBO &gt;&gt; TA6013 | BRECO &gt;&gt; TA6013 | MALO &gt;&gt; 8337 | SAMKO &gt;&gt; 6T46978</t>
  </si>
  <si>
    <t>Length [mm] &gt;&gt; 490 | for article number &gt;&gt; 6T47942 | Thread Measurement 1 &gt;&gt; F10X1 | Thread Measurement 2 &gt;&gt; M10X1</t>
  </si>
  <si>
    <t>KIA &gt;&gt; K20143980B | BREMBO &gt;&gt; T30103 | BRECO &gt;&gt; T30103 | MALO &gt;&gt; 80149 | SAMKO &gt;&gt; 6T47942</t>
  </si>
  <si>
    <t>for article number &gt;&gt; 6T47945 | Thread Measurement 1 &gt;&gt; F10X1 | Length [mm] &gt;&gt; 260 | Thread Measurement 2 &gt;&gt; F10X1</t>
  </si>
  <si>
    <t>AUDI &gt;&gt; 3C0611775 | AUDI &gt;&gt; 1K0611775 | AUDI &gt;&gt; 1K0611775A | AUDI &gt;&gt; 1K0611775C | AUDI &gt;&gt; 3C0611775C | SEAT &gt;&gt; 1K0611775C | SEAT &gt;&gt; 1K0611775B | SEAT &gt;&gt; 1K0611775A | SEAT &gt;&gt; 1K0611775 | SKODA &gt;&gt; 1K0611775C | SKODA &gt;&gt; 1K0611775 | SKODA &gt;&gt; 1K0611775A | VW &gt;&gt; 1K0611775C | VW &gt;&gt; 1K0611775 | VW &gt;&gt; 3C0611775C | VW &gt;&gt; 1K0611775A | VW &gt;&gt; 3C0611775A | VW &gt;&gt; 3C0611775 | VW &gt;&gt; 1T0611775A | ATE &gt;&gt; 83784902313 | PAGID &gt;&gt; 71000 | PAGID &gt;&gt; 70465 | BOSCH &gt;&gt; 1987476284 | FTE &gt;&gt; 235E653E1 | QUINTON HAZELL &gt;&gt; BFH5528 | BREMBO &gt;&gt; T85111 | DELPHI &gt;&gt; LH6544 | TRISCAN &gt;&gt; 815029249 | TRISCAN &gt;&gt; 815029234 | NK &gt;&gt; 8547103 | CORTECO &gt;&gt; 19033594 | CEF &gt;&gt; 512307 | TRW &gt;&gt; PHA515 | TRW &gt;&gt; PHA486 | TRW &gt;&gt; PHA457 | BRECO &gt;&gt; T85111 | MALO &gt;&gt; 80161 | SAMKO &gt;&gt; 6T47945</t>
  </si>
  <si>
    <t>Length [mm] &gt;&gt; 527 | for article number &gt;&gt; 6T47946 | Thread Measurement 1 &gt;&gt; F10X1 | Thread Measurement 2 &gt;&gt; F10X1</t>
  </si>
  <si>
    <t>AUDI &gt;&gt; 2K0611775C | VW &gt;&gt; 2K0611775P | VW &gt;&gt; 2K0611775C | VW &gt;&gt; 2K0611775D | ATE &gt;&gt; 24528005003 | PAGID &gt;&gt; 70776 | BOSCH &gt;&gt; 1987476398 | FTE &gt;&gt; 500E653E6 | BREMBO &gt;&gt; T85122 | DELPHI &gt;&gt; LH6457 | TRISCAN &gt;&gt; 815029246 | CEF &gt;&gt; 512796 | BRECO &gt;&gt; T85122 | MALO &gt;&gt; 80162 | SAMKO &gt;&gt; 6T47946</t>
  </si>
  <si>
    <t>Length [mm] &gt;&gt; 645 | for article number &gt;&gt; 6T47985 | Thread Measurement 1 &gt;&gt; F10X1 | Thread Measurement 2 &gt;&gt; o 10</t>
  </si>
  <si>
    <t>MAZDA &gt;&gt; GJ6E43990B | BREMBO &gt;&gt; T49051 | TRISCAN &gt;&gt; 815050233 | NK &gt;&gt; 853261 | BRECO &gt;&gt; T49051 | MALO &gt;&gt; 80218 | SAMKO &gt;&gt; 6T47985</t>
  </si>
  <si>
    <t>Thread Measurement 1 &gt;&gt; F10X1 | for article number &gt;&gt; 6T47986 | Length [mm] &gt;&gt; 645 | Thread Measurement 2 &gt;&gt; o 10</t>
  </si>
  <si>
    <t>MAZDA &gt;&gt; GJ6E43980B | BREMBO &gt;&gt; T49052 | TRISCAN &gt;&gt; 815050234 | NK &gt;&gt; 853262 | BRECO &gt;&gt; T49052 | MALO &gt;&gt; 80219 | SAMKO &gt;&gt; 6T47986 | BLUE PRINT &gt;&gt; ADM553105</t>
  </si>
  <si>
    <t>Length [mm] &gt;&gt; 645 | for article number &gt;&gt; 6T47987 | Thread Measurement 1 &gt;&gt; F10X1 | Thread Measurement 2 &gt;&gt; o 10</t>
  </si>
  <si>
    <t>MAZDA &gt;&gt; GJ6E43990C | BREMBO &gt;&gt; T49057 | TRISCAN &gt;&gt; 815050235 | NK &gt;&gt; 853263 | BRECO &gt;&gt; T49057 | MALO &gt;&gt; 80220 | SAMKO &gt;&gt; 6T47987 | BLUE PRINT &gt;&gt; ADM553106</t>
  </si>
  <si>
    <t>Thread Measurement 2 &gt;&gt; o 10 | Length [mm] &gt;&gt; 645 | for article number &gt;&gt; 6T47988 | Thread Measurement 1 &gt;&gt; F10X1</t>
  </si>
  <si>
    <t>MAZDA &gt;&gt; GJ6E43980C | BREMBO &gt;&gt; T49058 | TRISCAN &gt;&gt; 815050227 | NK &gt;&gt; 853264 | BRECO &gt;&gt; T49058 | MALO &gt;&gt; 80221 | SAMKO &gt;&gt; 6T47988</t>
  </si>
  <si>
    <t>Thread Measurement 2 &gt;&gt; o 10 | Thread Measurement 1 &gt;&gt; F10X1 | Length [mm] &gt;&gt; 275 | for article number &gt;&gt; 6T47989</t>
  </si>
  <si>
    <t>MAZDA &gt;&gt; GJ6A43810A | MAZDA &gt;&gt; GJ6A43810 | ATE &gt;&gt; 24528802703 | BREMBO &gt;&gt; T49053 | TRISCAN &gt;&gt; 815050223 | NK &gt;&gt; 853265 | CEF &gt;&gt; 512792 | BRECO &gt;&gt; T49053 | MALO &gt;&gt; 80222 | SAMKO &gt;&gt; 6T47989</t>
  </si>
  <si>
    <t>Thread Measurement 2 &gt;&gt; F10X1 | Length [mm] &gt;&gt; 300 | for article number &gt;&gt; 6T48006 | Thread Measurement 1 &gt;&gt; F10X1</t>
  </si>
  <si>
    <t>SUZUKI &gt;&gt; 51570M76G10 | BREMBO &gt;&gt; T79028 | TRISCAN &gt;&gt; 815069231 | NK &gt;&gt; 855227 | BRECO &gt;&gt; T79028 | MALO &gt;&gt; 80259 | SAMKO &gt;&gt; 6T48006</t>
  </si>
  <si>
    <t>for article number &gt;&gt; 6T48018 | Thread Measurement 1 &gt;&gt; F10X1 | Thread Measurement 2 &gt;&gt; o 10 | Length [mm] &gt;&gt; 465</t>
  </si>
  <si>
    <t>SUZUKI &gt;&gt; 51550M76G10 | BREMBO &gt;&gt; T79029 | TRISCAN &gt;&gt; 815069114 | NK &gt;&gt; 855226 | BRECO &gt;&gt; T79029 | MALO &gt;&gt; 80276 | SAMKO &gt;&gt; 6T48018</t>
  </si>
  <si>
    <t>Thread Measurement 2 &gt;&gt; F10X1 | Thread Measurement 1 &gt;&gt; F10X1 | for article number &gt;&gt; 6T48027 | Length [mm] &gt;&gt; 385</t>
  </si>
  <si>
    <t>DAEWOO &gt;&gt; 96549725 | BREMBO &gt;&gt; T10005 | TRISCAN &gt;&gt; 815013241 | NK &gt;&gt; 8545122 | BRECO &gt;&gt; T10005 | MALO &gt;&gt; 80288 | SAMKO &gt;&gt; 6T48027 | BLUE PRINT &gt;&gt; ADT353174</t>
  </si>
  <si>
    <t>Length [mm] &gt;&gt; 580 | for article number &gt;&gt; 6T48034 | Thread Measurement 1 &gt;&gt; F10X1 | Thread Measurement 2 &gt;&gt; o 10</t>
  </si>
  <si>
    <t>HONDA &gt;&gt; 46430SH3933 | HONDA &gt;&gt; 46430SH3931 | HONDA &gt;&gt; 46430SH3937 | HONDA &gt;&gt; 46430SH3935 | HONDA &gt;&gt; 46430ST3E51 | HONDA &gt;&gt; 46430SH3938 | HONDA &gt;&gt; 46430SH3934 | HONDA &gt;&gt; 46430ST3E01 | HONDA &gt;&gt; 46430SK7932 | HONDA &gt;&gt; 46430SK7931 | PAGID &gt;&gt; 70534 | BOSCH &gt;&gt; 1987476070 | FTE &gt;&gt; 566E865E11 | QUINTON HAZELL &gt;&gt; BFH5357 | FERODO &gt;&gt; FHY2295 | BREMBO &gt;&gt; T28098 | TRISCAN &gt;&gt; 815010212 | TRISCAN &gt;&gt; 815040207 | NK &gt;&gt; 852666 | CORTECO &gt;&gt; 19032420 | CEF &gt;&gt; 512214 | TRW &gt;&gt; PHD142 | BRECO &gt;&gt; T28098 | MALO &gt;&gt; 80300 | SAMKO &gt;&gt; 6T48034</t>
  </si>
  <si>
    <t>Length [mm] &gt;&gt; 330 | Thread Measurement 2 &gt;&gt; o 12 | for article number &gt;&gt; 6T48058 | Thread Measurement 1 &gt;&gt; F10X1</t>
  </si>
  <si>
    <t>OPEL &gt;&gt; 5562204 | OPEL &gt;&gt; 24436542 | SAAB &gt;&gt; 24436542 | VAUXHALL &gt;&gt; 24436542 | VAUXHALL &gt;&gt; 5562204 | ATE &gt;&gt; 24525903153 | PAGID &gt;&gt; 70659 | BOSCH &gt;&gt; 1987476365 | FTE &gt;&gt; 319E865E01 | QUINTON HAZELL &gt;&gt; BFH5750 | BREMBO &gt;&gt; T59081 | DELPHI &gt;&gt; LH6417 | TRISCAN &gt;&gt; 815024220 | NK &gt;&gt; 853673 | CORTECO &gt;&gt; 19032114 | CEF &gt;&gt; 512332 | TRW &gt;&gt; PHD539 | BRECO &gt;&gt; T59081 | MALO &gt;&gt; 80342 | SAMKO &gt;&gt; 6T48058</t>
  </si>
  <si>
    <t>Length [mm] &gt;&gt; 485 | for article number &gt;&gt; 6T48084 | Thread Measurement 1 &gt;&gt; F10X1 | Thread Measurement 2 &gt;&gt; o 10</t>
  </si>
  <si>
    <t>HYUNDAI &gt;&gt; 587313A000 | BREMBO &gt;&gt; T30090 | TRISCAN &gt;&gt; 815043161 | NK &gt;&gt; 853469 | CORTECO &gt;&gt; 19033003 | TRW &gt;&gt; PHD1081 | BRECO &gt;&gt; T30090 | MALO &gt;&gt; 80386 | SAMKO &gt;&gt; 6T48084</t>
  </si>
  <si>
    <t>Thread Measurement 2 &gt;&gt; o 10 | Thread Measurement 1 &gt;&gt; F10X1 | Length [mm] &gt;&gt; 485 | for article number &gt;&gt; 6T48088</t>
  </si>
  <si>
    <t>HYUNDAI &gt;&gt; 587323A000 | BREMBO &gt;&gt; T30091 | DELPHI &gt;&gt; LH6563 | TRISCAN &gt;&gt; 815043162 | NK &gt;&gt; 853470 | CORTECO &gt;&gt; 19033004 | TRW &gt;&gt; PHD1079 | BRECO &gt;&gt; T30091 | MALO &gt;&gt; 80393 | SAMKO &gt;&gt; 6T48088</t>
  </si>
  <si>
    <t>Thread Measurement 2 &gt;&gt; F10X1 | Length [mm] &gt;&gt; 425 | for article number &gt;&gt; 6T48089 | Thread Measurement 1 &gt;&gt; F10X1</t>
  </si>
  <si>
    <t>MITSUBISHI &gt;&gt; MR249392 | ATE &gt;&gt; 24528404003 | BREMBO &gt;&gt; T54045 | TRISCAN &gt;&gt; 815042117 | CORTECO &gt;&gt; 19035065 | TRW &gt;&gt; PHA576 | BRECO &gt;&gt; T54045 | MALO &gt;&gt; 80394 | SAMKO &gt;&gt; 6T48089</t>
  </si>
  <si>
    <t>for article number &gt;&gt; 6T48110 | Thread Measurement 1 &gt;&gt; F3/8-24 | Length [mm] &gt;&gt; 450 | Thread Measurement 2 &gt;&gt; o 10</t>
  </si>
  <si>
    <t>CHRYSLER &gt;&gt; 4860068AC | BOSCH &gt;&gt; 1987476103 | BREMBO &gt;&gt; T11005 | DELPHI &gt;&gt; LH6344 | TRISCAN &gt;&gt; 815080113 | BRECO &gt;&gt; T11005 | MALO &gt;&gt; 80423 | SAMKO &gt;&gt; 6T48110</t>
  </si>
  <si>
    <t>Thread Measurement 2 &gt;&gt; o 10 | Thread Measurement 1 &gt;&gt; F10X1 | for article number &gt;&gt; 6T48138 | Length [mm] &gt;&gt; 460</t>
  </si>
  <si>
    <t>HONDA &gt;&gt; 46411S1AE01 | ATE &gt;&gt; 24528704523 | PAGID &gt;&gt; 70309 | BOSCH &gt;&gt; 1987476187 | FTE &gt;&gt; 451E865E11 | QUINTON HAZELL &gt;&gt; BFH5332 | BREMBO &gt;&gt; T28097 | DELPHI &gt;&gt; LH6158 | TRISCAN &gt;&gt; 815040129 | NK &gt;&gt; 852659 | CORTECO &gt;&gt; 19032437 | CEF &gt;&gt; 511997 | BRECO &gt;&gt; T28097 | ASHIKA &gt;&gt; 69044014 | MALO &gt;&gt; 80458 | SAMKO &gt;&gt; 6T48138 | BLUE PRINT &gt;&gt; ADH25391</t>
  </si>
  <si>
    <t>Length [mm] &gt;&gt; 715 | for article number &gt;&gt; 6T48166 | Thread Measurement 1 &gt;&gt; F10X1,25 | Thread Measurement 2 &gt;&gt; o 10</t>
  </si>
  <si>
    <t>HYUNDAI &gt;&gt; 5873238010 | BREMBO &gt;&gt; T30080 | TRISCAN &gt;&gt; 815043118 | NK &gt;&gt; 853428 | CORTECO &gt;&gt; 19033002 | TRW &gt;&gt; PHD1089 | BRECO &gt;&gt; T30080 | MALO &gt;&gt; 80506 | SAMKO &gt;&gt; 6T48166</t>
  </si>
  <si>
    <t>for article number &gt;&gt; 6T48167 | Thread Measurement 1 &gt;&gt; F10X1,25 | Length [mm] &gt;&gt; 715 | Thread Measurement 2 &gt;&gt; o 10</t>
  </si>
  <si>
    <t>HYUNDAI &gt;&gt; 5873138010 | BREMBO &gt;&gt; T15013 | TRISCAN &gt;&gt; 815043117 | NK &gt;&gt; 853427 | CORTECO &gt;&gt; 19033001 | TRW &gt;&gt; PHD1090 | BRECO &gt;&gt; T15013 | MALO &gt;&gt; 80507 | SAMKO &gt;&gt; 6T48167</t>
  </si>
  <si>
    <t>Length [mm] &gt;&gt; 270 | for article number &gt;&gt; 6T48168 | Thread Measurement 1 &gt;&gt; F10X1 | Thread Measurement 2 &gt;&gt; M10X1</t>
  </si>
  <si>
    <t>HYUNDAI &gt;&gt; 587443D000 | BREMBO &gt;&gt; T30081 | TRISCAN &gt;&gt; 815043212 | NK &gt;&gt; 853460 | CEF &gt;&gt; 512956 | BRECO &gt;&gt; T30081 | MALO &gt;&gt; 80508 | SAMKO &gt;&gt; 6T48168</t>
  </si>
  <si>
    <t>Thread Measurement 1 &gt;&gt; F10X1 | for article number &gt;&gt; 6T48169 | Length [mm] &gt;&gt; 260 | Thread Measurement 2 &gt;&gt; F10X1</t>
  </si>
  <si>
    <t>HYUNDAI &gt;&gt; 5873738500 | BREMBO &gt;&gt; T30082 | TRISCAN &gt;&gt; 815043220 | NK &gt;&gt; 853463 | CEF &gt;&gt; 512958 | BRECO &gt;&gt; T30082 | MALO &gt;&gt; 80509 | SAMKO &gt;&gt; 6T48169</t>
  </si>
  <si>
    <t>Thread Measurement 2 &gt;&gt; M10X1 | Thread Measurement 1 &gt;&gt; F10X1 | Length [mm] &gt;&gt; 410 | for article number &gt;&gt; 6T46063</t>
  </si>
  <si>
    <t>CITROEN &gt;&gt; 7910022622 | PEUGEOT &gt;&gt; 481630 | PEUGEOT &gt;&gt; 481621 | TALBOT &gt;&gt; 481621 | TALBOT &gt;&gt; 481630 | BOSCH &gt;&gt; 1987476682 | BENDIX &gt;&gt; 171073B | QUINTON HAZELL &gt;&gt; BFH4725 | BREMBO &gt;&gt; T61068 | DELPHI &gt;&gt; LH1144 | TRISCAN &gt;&gt; 815038202 | NK &gt;&gt; 859914 | CORTECO &gt;&gt; 19018661 | CEF &gt;&gt; 510417 | PIRELLI &gt;&gt; 12520 | TRW &gt;&gt; PHB178 | BRECO &gt;&gt; T61068 | MALO &gt;&gt; 8385 | SAMKO &gt;&gt; 6T46063</t>
  </si>
  <si>
    <t>Thread Measurement 1 &gt;&gt; F10X1 | Thread Measurement 2 &gt;&gt; o 10 | for article number &gt;&gt; 6T48440 | Length [mm] &gt;&gt; 505</t>
  </si>
  <si>
    <t>SUBARU &gt;&gt; 9004922192 | TRISCAN &gt;&gt; 815041111 | MALO &gt;&gt; 80862 | SAMKO &gt;&gt; 6T48440 | BLUE PRINT &gt;&gt; ADG053173</t>
  </si>
  <si>
    <t>for article number &gt;&gt; 6T48441</t>
  </si>
  <si>
    <t>SUBARU &gt;&gt; 9004922191 | TRISCAN &gt;&gt; 815041112 | MALO &gt;&gt; 80863 | SAMKO &gt;&gt; 6T48441 | BLUE PRINT &gt;&gt; ADG053174</t>
  </si>
  <si>
    <t>Thread Measurement 1 &gt;&gt; F10X1 | Thread Measurement 2 &gt;&gt; o 10 | Length [mm] &gt;&gt; 515 | for article number &gt;&gt; 6T48444</t>
  </si>
  <si>
    <t>SUBARU &gt;&gt; 26591SC010 | TRISCAN &gt;&gt; 815068214 | MALO &gt;&gt; 80867 | SAMKO &gt;&gt; 6T48444 | BLUE PRINT &gt;&gt; ADS75355</t>
  </si>
  <si>
    <t>Length [mm] &gt;&gt; 515 | for article number &gt;&gt; 6T48445 | Thread Measurement 1 &gt;&gt; F10X1 | Thread Measurement 2 &gt;&gt; o 10</t>
  </si>
  <si>
    <t>SUBARU &gt;&gt; 26591SC000 | TRISCAN &gt;&gt; 815068215 | MALO &gt;&gt; 80868 | SAMKO &gt;&gt; 6T48445 | BLUE PRINT &gt;&gt; ADS75356</t>
  </si>
  <si>
    <t>Thread Measurement 2 &gt;&gt; o 10 | Thread Measurement 1 &gt;&gt; F10X1 | Length [mm] &gt;&gt; 515 | for article number &gt;&gt; 6T48447</t>
  </si>
  <si>
    <t>SUBARU &gt;&gt; 26541XA01A9E | TRISCAN &gt;&gt; 815068237 | MALO &gt;&gt; 80871 | SAMKO &gt;&gt; 6T48447</t>
  </si>
  <si>
    <t>Thread Measurement 2 &gt;&gt; o 10 | Length [mm] &gt;&gt; 515 | for article number &gt;&gt; 6T48448 | Thread Measurement 1 &gt;&gt; F10X1</t>
  </si>
  <si>
    <t>SUBARU &gt;&gt; 26541XA00A | TRISCAN &gt;&gt; 815068238 | MALO &gt;&gt; 80872 | SAMKO &gt;&gt; 6T48448</t>
  </si>
  <si>
    <t>Thread Measurement 1 &gt;&gt; F10X1 | for article number &gt;&gt; 6T48461 | Length [mm] &gt;&gt; 315 | Thread Measurement 2 &gt;&gt; o 10</t>
  </si>
  <si>
    <t>SAAB &gt;&gt; 12841242 | DELPHI &gt;&gt; LH6838 | MALO &gt;&gt; 80849 | SAMKO &gt;&gt; 6T48461</t>
  </si>
  <si>
    <t>Thread Measurement 1 &gt;&gt; o 10 | for article number &gt;&gt; 6T48470 | Length [mm] &gt;&gt; 385 | Thread Measurement 2 &gt;&gt; F10X1</t>
  </si>
  <si>
    <t>SUZUKI &gt;&gt; 5158077K00 | TRISCAN &gt;&gt; 815069221 | MALO &gt;&gt; 80693 | SAMKO &gt;&gt; 6T48470 | BLUE PRINT &gt;&gt; ADK85377</t>
  </si>
  <si>
    <t>Length [mm] &gt;&gt; 385 | for article number &gt;&gt; 6T48471 | Thread Measurement 1 &gt;&gt; F10X1 | Thread Measurement 2 &gt;&gt; o 10</t>
  </si>
  <si>
    <t>SUZUKI &gt;&gt; 5157077K00 | TRISCAN &gt;&gt; 815069220 | MALO &gt;&gt; 80694 | SAMKO &gt;&gt; 6T48471 | BLUE PRINT &gt;&gt; ADK85378</t>
  </si>
  <si>
    <t>Length [mm] &gt;&gt; 455 | for article number &gt;&gt; 6T48478 | Thread Measurement 1 &gt;&gt; F10X1 | Thread Measurement 2 &gt;&gt; M10x1</t>
  </si>
  <si>
    <t>VOLVO &gt;&gt; 31305080 | TRISCAN &gt;&gt; 815027119 | MALO &gt;&gt; 80708 | SAMKO &gt;&gt; 6T48478</t>
  </si>
  <si>
    <t>for article number &gt;&gt; 6T48479 | Thread Measurement 1 &gt;&gt; F10X1 | Length [mm] &gt;&gt; 350 | Thread Measurement 2 &gt;&gt; o 10</t>
  </si>
  <si>
    <t>VOLVO &gt;&gt; 31317431 | BOSCH &gt;&gt; 1987481424 | FTE &gt;&gt; 329E865E01 | TRISCAN &gt;&gt; 815027222 | NK &gt;&gt; 8525149 | MALO &gt;&gt; 80709 | SAMKO &gt;&gt; 6T48479</t>
  </si>
  <si>
    <t>Thread Measurement 2 &gt;&gt; o 10 | Length [mm] &gt;&gt; 340 | for article number &gt;&gt; 6T48480 | Thread Measurement 1 &gt;&gt; F10X1</t>
  </si>
  <si>
    <t>VOLVO &gt;&gt; 31317430 | BOSCH &gt;&gt; 1987481423 | FTE &gt;&gt; 329E865E02 | TRISCAN &gt;&gt; 815027221 | NK &gt;&gt; 8525150 | MALO &gt;&gt; 80710 | SAMKO &gt;&gt; 6T48480</t>
  </si>
  <si>
    <t>Thread Measurement 2 &gt;&gt; o 10 | Thread Measurement 1 &gt;&gt; F10X1 | Length [mm] &gt;&gt; 340 | for article number &gt;&gt; 6T48482</t>
  </si>
  <si>
    <t>VOLVO &gt;&gt; 31261708 | ATE &gt;&gt; 24513303113 | FTE &gt;&gt; 329E865E02 | TRISCAN &gt;&gt; 815016274 | NK &gt;&gt; 8525150 | MALO &gt;&gt; 80715 | SAMKO &gt;&gt; 6T48482</t>
  </si>
  <si>
    <t>Length [mm] &gt;&gt; 215 | for article number &gt;&gt; 6T48483 | Thread Measurement 1 &gt;&gt; F10X1 | Thread Measurement 2 &gt;&gt; M10x1</t>
  </si>
  <si>
    <t>VOLVO &gt;&gt; 30714483 | VOLVO &gt;&gt; 30793632 | VOLVO &gt;&gt; 31261882 | ATE &gt;&gt; 24516201853 | TRISCAN &gt;&gt; 815027225 | MALO &gt;&gt; 80946 | SAMKO &gt;&gt; 6T48483</t>
  </si>
  <si>
    <t>for article number &gt;&gt; 6T48490 | Thread Measurement 1 &gt;&gt; F10X1 | Length [mm] &gt;&gt; 440 | Thread Measurement 2 &gt;&gt; o 10</t>
  </si>
  <si>
    <t>NISSAN &gt;&gt; 66055841 | MALO &gt;&gt; 80638 | SAMKO &gt;&gt; 6T48490</t>
  </si>
  <si>
    <t>Thread Measurement 2 &gt;&gt; o 10 | Length [mm] &gt;&gt; 345 | for article number &gt;&gt; 6T48491 | Thread Measurement 1 &gt;&gt; F10X1</t>
  </si>
  <si>
    <t>NISSAN &gt;&gt; 46211EB01A | TRISCAN &gt;&gt; 8150142114 | MALO &gt;&gt; 80685 | SAMKO &gt;&gt; 6T48491 | BLUE PRINT &gt;&gt; ADN153234</t>
  </si>
  <si>
    <t>Thread Measurement 2 &gt;&gt; o 10 | Thread Measurement 1 &gt;&gt; F10X1 | for article number &gt;&gt; 6T48492 | Length [mm] &gt;&gt; 350</t>
  </si>
  <si>
    <t>NISSAN &gt;&gt; 46210EB01A | TRISCAN &gt;&gt; 8150142115 | MALO &gt;&gt; 80686 | SAMKO &gt;&gt; 6T48492 | BLUE PRINT &gt;&gt; ADN153235</t>
  </si>
  <si>
    <t>Length [mm] &gt;&gt; 635 | for article number &gt;&gt; 6T48493 | Thread Measurement 1 &gt;&gt; F10X1 | Thread Measurement 2 &gt;&gt; o 10</t>
  </si>
  <si>
    <t>NISSAN &gt;&gt; 46210JG01B | TRISCAN &gt;&gt; 815014281 | CORTECO &gt;&gt; 19036848 | MALO &gt;&gt; 80687 | SAMKO &gt;&gt; 6T48493 | BLUE PRINT &gt;&gt; ADN153175</t>
  </si>
  <si>
    <t>for article number &gt;&gt; 6T48494 | Thread Measurement 1 &gt;&gt; F10X1 | Length [mm] &gt;&gt; 265 | Thread Measurement 2 &gt;&gt; o 10</t>
  </si>
  <si>
    <t>NISSAN &gt;&gt; 46210JG01A | ATE &gt;&gt; 24526706263 | TRISCAN &gt;&gt; 815014280 | CORTECO &gt;&gt; 19036849 | MALO &gt;&gt; 80688 | SAMKO &gt;&gt; 6T48494 | BLUE PRINT &gt;&gt; ADN153174</t>
  </si>
  <si>
    <t>Length [mm] &gt;&gt; 255 | for article number &gt;&gt; 6T48495 | Thread Measurement 1 &gt;&gt; F10X1 | Thread Measurement 2 &gt;&gt; o 10</t>
  </si>
  <si>
    <t>NISSAN &gt;&gt; 46210JG013 | ATE &gt;&gt; 24529002403 | TRISCAN &gt;&gt; 815014279 | CORTECO &gt;&gt; 19036846 | MALO &gt;&gt; 80689 | SAMKO &gt;&gt; 6T48495 | BLUE PRINT &gt;&gt; ADN153177</t>
  </si>
  <si>
    <t>for article number &gt;&gt; 6T48496 | Thread Measurement 1 &gt;&gt; F10X1 | Thread Measurement 2 &gt;&gt; o 10 | Length [mm] &gt;&gt; 255</t>
  </si>
  <si>
    <t>NISSAN &gt;&gt; 46210JG012 | ATE &gt;&gt; 24529002413 | TRISCAN &gt;&gt; 815014278 | CORTECO &gt;&gt; 19036847 | MALO &gt;&gt; 80690 | SAMKO &gt;&gt; 6T48496 | BLUE PRINT &gt;&gt; ADN153176</t>
  </si>
  <si>
    <t>Length [mm] &gt;&gt; 610 | for article number &gt;&gt; 6T48501 | Thread Measurement 1 &gt;&gt; F10X1 | Thread Measurement 2 &gt;&gt; o 10</t>
  </si>
  <si>
    <t>NISSAN &gt;&gt; 46210EM01B | DELPHI &gt;&gt; LH6840 | TRISCAN &gt;&gt; 815014268 | MALO &gt;&gt; 80815 | SAMKO &gt;&gt; 6T48501 | BLUE PRINT &gt;&gt; ADN153248</t>
  </si>
  <si>
    <t>Thread Measurement 2 &gt;&gt; o 10 | Length [mm] &gt;&gt; 610 | for article number &gt;&gt; 6T48502 | Thread Measurement 1 &gt;&gt; F10X1</t>
  </si>
  <si>
    <t>NISSAN &gt;&gt; 46210EM01A | DELPHI &gt;&gt; LH6841 | TRISCAN &gt;&gt; 815014267 | MALO &gt;&gt; 80816 | SAMKO &gt;&gt; 6T48502 | BLUE PRINT &gt;&gt; ADN153249</t>
  </si>
  <si>
    <t>Thread Measurement 1 &gt;&gt; o 10 | Thread Measurement 2 &gt;&gt; F10X1 | Length [mm] &gt;&gt; 465 | for article number &gt;&gt; 6T48505</t>
  </si>
  <si>
    <t>NISSAN &gt;&gt; 462014A00D | NISSAN &gt;&gt; 462014A00E | DELPHI &gt;&gt; LH6740 | TRISCAN &gt;&gt; 815014165 | MALO &gt;&gt; 80824 | MALO &gt;&gt; 80823 | SAMKO &gt;&gt; 6T48505</t>
  </si>
  <si>
    <t>Length [mm] &gt;&gt; 645 | for article number &gt;&gt; 6T48508 | Thread Measurement 1 &gt;&gt; F10X1 | Thread Measurement 2 &gt;&gt; o 10</t>
  </si>
  <si>
    <t>NISSAN &gt;&gt; 462111KK0A | TRISCAN &gt;&gt; 815014166 | MALO &gt;&gt; 80931 | SAMKO &gt;&gt; 6T48508</t>
  </si>
  <si>
    <t>Thread Measurement 2 &gt;&gt; o 10 | Length [mm] &gt;&gt; 650 | for article number &gt;&gt; 6T48509 | Thread Measurement 1 &gt;&gt; F10X1</t>
  </si>
  <si>
    <t>NISSAN &gt;&gt; 462101KK0A | TRISCAN &gt;&gt; 815014167 | MALO &gt;&gt; 80932 | SAMKO &gt;&gt; 6T48509</t>
  </si>
  <si>
    <t>for article number &gt;&gt; 6T48510 | Thread Measurement 1 &gt;&gt; F10X1 | Thread Measurement 2 &gt;&gt; o 10</t>
  </si>
  <si>
    <t>NISSAN &gt;&gt; 462111HJ0B | TRISCAN &gt;&gt; 815014170 | MALO &gt;&gt; 80935 | SAMKO &gt;&gt; 6T48510</t>
  </si>
  <si>
    <t>Thread Measurement 2 &gt;&gt; o 10 | Length [mm] &gt;&gt; 575 | for article number &gt;&gt; 6T48511 | Thread Measurement 1 &gt;&gt; F10X1</t>
  </si>
  <si>
    <t>NISSAN &gt;&gt; 462101HJ0B | TRISCAN &gt;&gt; 815014171 | MALO &gt;&gt; 80936 | SAMKO &gt;&gt; 6T48511</t>
  </si>
  <si>
    <t>Thread Measurement 2 &gt;&gt; o 10 | Thread Measurement 1 &gt;&gt; F10X1 | Length [mm] &gt;&gt; 485 | for article number &gt;&gt; 6T48512</t>
  </si>
  <si>
    <t>CHEVROLET &gt;&gt; 4808600 | CHEVROLET &gt;&gt; 95477364 | CHEVROLET &gt;&gt; 96625949 | DAEWOO &gt;&gt; 95477364 | DAEWOO &gt;&gt; 4808600 | DAEWOO &gt;&gt; 96625949 | TRISCAN &gt;&gt; 815080108 | MALO &gt;&gt; 80659 | SAMKO &gt;&gt; 6T48512</t>
  </si>
  <si>
    <t>Thread Measurement 2 &gt;&gt; o 10 | Length [mm] &gt;&gt; 485 | for article number &gt;&gt; 6T48513 | Thread Measurement 1 &gt;&gt; F10X1</t>
  </si>
  <si>
    <t>CHEVROLET &gt;&gt; 95477363 | CHEVROLET &gt;&gt; 96625950 | DAEWOO &gt;&gt; 96625950 | DAEWOO &gt;&gt; 95477363 | TRISCAN &gt;&gt; 815080108 | MALO &gt;&gt; 80660 | SAMKO &gt;&gt; 6T48513</t>
  </si>
  <si>
    <t>Thread Measurement 2 &gt;&gt; o 10 | Thread Measurement 1 &gt;&gt; F10X1 | for article number &gt;&gt; 6T48514 | Length [mm] &gt;&gt; 500</t>
  </si>
  <si>
    <t>CHEVROLET &gt;&gt; 96625919 | DAEWOO &gt;&gt; 96625919 | TRISCAN &gt;&gt; 815010226 | MALO &gt;&gt; 80661 | SAMKO &gt;&gt; 6T48514</t>
  </si>
  <si>
    <t>Length [mm] &gt;&gt; 500 | for article number &gt;&gt; 6T48515 | Thread Measurement 1 &gt;&gt; F10X1 | Thread Measurement 2 &gt;&gt; o 10</t>
  </si>
  <si>
    <t>CHEVROLET &gt;&gt; 96625920 | DAEWOO &gt;&gt; 96625920 | TRISCAN &gt;&gt; 815080201 | MALO &gt;&gt; 80662 | SAMKO &gt;&gt; 6T48515</t>
  </si>
  <si>
    <t>for article number &gt;&gt; 6T48516 | Thread Measurement 1 &gt;&gt; F10X1 | Length [mm] &gt;&gt; 415 | Thread Measurement 2 &gt;&gt; o 10</t>
  </si>
  <si>
    <t>OPEL &gt;&gt; 564016 | VAUXHALL &gt;&gt; 12774865 | CHEVROLET &gt;&gt; 12774865 | CHEVROLET &gt;&gt; 13336917 | DAEWOO &gt;&gt; 12774865 | DAEWOO &gt;&gt; 13336917 | DELPHI &gt;&gt; LH6837 | TRISCAN &gt;&gt; 815080110 | MALO &gt;&gt; 80832 | SAMKO &gt;&gt; 6T48516 | BLUE PRINT &gt;&gt; ADG053278</t>
  </si>
  <si>
    <t>Thread Measurement 2 &gt;&gt; M10x1 | Length [mm] &gt;&gt; 445 | for article number &gt;&gt; 6T48518 | Thread Measurement 1 &gt;&gt; F10X1</t>
  </si>
  <si>
    <t>LAND ROVER &gt;&gt; LR006689 | DELPHI &gt;&gt; LH6805 | CORTECO &gt;&gt; 19036626 | MALO &gt;&gt; 80697 | SAMKO &gt;&gt; 6T48518</t>
  </si>
  <si>
    <t>Length [mm] &gt;&gt; 230 | for article number &gt;&gt; 6T48522</t>
  </si>
  <si>
    <t>CHRYSLER &gt;&gt; 4383850 | PAGID &gt;&gt; 70907 | BENDIX &gt;&gt; 172885B | FTE &gt;&gt; 215Z013 | DELPHI &gt;&gt; LH6119 | CEF &gt;&gt; 513277 | TRW &gt;&gt; PHA524 | SAMKO &gt;&gt; 6T48522</t>
  </si>
  <si>
    <t>Length [mm] &gt;&gt; 622 | Thread Measurement 2 &gt;&gt; o 10 | for article number &gt;&gt; 6T48531 | Thread Measurement 1 &gt;&gt; 3/8 24</t>
  </si>
  <si>
    <t>CHRYSLER &gt;&gt; 4683791AC | BOSCH &gt;&gt; 1987476086 | DELPHI &gt;&gt; LH6835 | MALO &gt;&gt; 80920 | SAMKO &gt;&gt; 6T48531</t>
  </si>
  <si>
    <t>Thread Measurement 2 &gt;&gt; o 10 | Thread Measurement 1 &gt;&gt; F10X1 | for article number &gt;&gt; 6T48537 | Length [mm] &gt;&gt; 555</t>
  </si>
  <si>
    <t>HYUNDAI &gt;&gt; 587314H000 | TRISCAN &gt;&gt; 815043189 | MALO &gt;&gt; 80774 | SAMKO &gt;&gt; 6T48537 | BLUE PRINT &gt;&gt; ADG053256</t>
  </si>
  <si>
    <t>for article number &gt;&gt; 6T48538 | Thread Measurement 1 &gt;&gt; F10X1 | Thread Measurement 2 &gt;&gt; o 10 | Length [mm] &gt;&gt; 555</t>
  </si>
  <si>
    <t>HYUNDAI &gt;&gt; 587324H000 | TRISCAN &gt;&gt; 815043190 | MALO &gt;&gt; 80775 | SAMKO &gt;&gt; 6T48538 | BLUE PRINT &gt;&gt; ADG053257</t>
  </si>
  <si>
    <t>Thread Measurement 2 &gt;&gt; o 10 | Length [mm] &gt;&gt; 375 | for article number &gt;&gt; 6T48539 | Thread Measurement 1 &gt;&gt; F10X1</t>
  </si>
  <si>
    <t>HYUNDAI &gt;&gt; 587384H730 | TRISCAN &gt;&gt; 815043267 | MALO &gt;&gt; 80777 | SAMKO &gt;&gt; 6T48539 | BLUE PRINT &gt;&gt; ADG053253</t>
  </si>
  <si>
    <t>Thread Measurement 2 &gt;&gt; o 10 | Thread Measurement 1 &gt;&gt; F10X1 | Length [mm] &gt;&gt; 520 | for article number &gt;&gt; 6T48541</t>
  </si>
  <si>
    <t>HYUNDAI &gt;&gt; 587311J000 | TRISCAN &gt;&gt; 815043166 | NK &gt;&gt; 853483 | MALO &gt;&gt; 80905 | SAMKO &gt;&gt; 6T48541</t>
  </si>
  <si>
    <t>Thread Measurement 2 &gt;&gt; o 10 | Length [mm] &gt;&gt; 520 | for article number &gt;&gt; 6T48542 | Thread Measurement 1 &gt;&gt; F10X1</t>
  </si>
  <si>
    <t>HYUNDAI &gt;&gt; 587321J000 | TRISCAN &gt;&gt; 815043167 | NK &gt;&gt; 853484 | MALO &gt;&gt; 80906 | SAMKO &gt;&gt; 6T48542</t>
  </si>
  <si>
    <t>Thread Measurement 2 &gt;&gt; o 10 | Thread Measurement 1 &gt;&gt; F10X1 | for article number &gt;&gt; 6T48543 | Length [mm] &gt;&gt; 267</t>
  </si>
  <si>
    <t>HYUNDAI &gt;&gt; 587371J300 | TRISCAN &gt;&gt; 815043232 | NK &gt;&gt; 853487 | MALO &gt;&gt; 80907 | SAMKO &gt;&gt; 6T48543</t>
  </si>
  <si>
    <t>Length [mm] &gt;&gt; 267 | for article number &gt;&gt; 6T48544 | Thread Measurement 1 &gt;&gt; F10X1 | Thread Measurement 2 &gt;&gt; o 10</t>
  </si>
  <si>
    <t>HYUNDAI &gt;&gt; 587381J300 | TRISCAN &gt;&gt; 81503235 | NK &gt;&gt; 853488 | MALO &gt;&gt; 80908 | SAMKO &gt;&gt; 6T48544</t>
  </si>
  <si>
    <t>for article number &gt;&gt; 6T48545 | Thread Measurement 1 &gt;&gt; F10X1 | Length [mm] &gt;&gt; 540 | Thread Measurement 2 &gt;&gt; o 10,2</t>
  </si>
  <si>
    <t>HYUNDAI &gt;&gt; 587312L000 | TRISCAN &gt;&gt; 815043131 | MALO &gt;&gt; 80909 | SAMKO &gt;&gt; 6T48545 | BLUE PRINT &gt;&gt; ADG053147</t>
  </si>
  <si>
    <t>Length [mm] &gt;&gt; 540 | for article number &gt;&gt; 6T48546 | Thread Measurement 1 &gt;&gt; F10X1 | Thread Measurement 2 &gt;&gt; o 10,2</t>
  </si>
  <si>
    <t>HYUNDAI &gt;&gt; 587322L000 | TRISCAN &gt;&gt; 815043130 | MALO &gt;&gt; 80910 | SAMKO &gt;&gt; 6T48546 | BLUE PRINT &gt;&gt; ADG053148</t>
  </si>
  <si>
    <t>Thread Measurement 1 &gt;&gt; F10X1 | Thread Measurement 2 &gt;&gt; o 10 | Length [mm] &gt;&gt; 555 | for article number &gt;&gt; 6T48548</t>
  </si>
  <si>
    <t>HYUNDAI &gt;&gt; 587312S100 | TRISCAN &gt;&gt; 815043137 | MALO &gt;&gt; 80913 | SAMKO &gt;&gt; 6T48548</t>
  </si>
  <si>
    <t>Length [mm] &gt;&gt; 555 | for article number &gt;&gt; 6T48549 | Thread Measurement 1 &gt;&gt; F10X1 | Thread Measurement 2 &gt;&gt; o 10</t>
  </si>
  <si>
    <t>HYUNDAI &gt;&gt; 587322S100 | TRISCAN &gt;&gt; 815043136 | MALO &gt;&gt; 80914 | SAMKO &gt;&gt; 6T48549</t>
  </si>
  <si>
    <t>for article number &gt;&gt; 6T48550 | Thread Measurement 1 &gt;&gt; F10X1 | Length [mm] &gt;&gt; 345 | Thread Measurement 2 &gt;&gt; o 10</t>
  </si>
  <si>
    <t>HYUNDAI &gt;&gt; 587372S100 | TRISCAN &gt;&gt; 815043141 | MALO &gt;&gt; 80915 | SAMKO &gt;&gt; 6T48550</t>
  </si>
  <si>
    <t>Length [mm] &gt;&gt; 345 | for article number &gt;&gt; 6T48551 | Thread Measurement 1 &gt;&gt; F10X1 | Thread Measurement 2 &gt;&gt; o 10</t>
  </si>
  <si>
    <t>HYUNDAI &gt;&gt; 587382S100 | TRISCAN &gt;&gt; 815043140 | MALO &gt;&gt; 80916 | SAMKO &gt;&gt; 6T48551</t>
  </si>
  <si>
    <t>for article number &gt;&gt; 6T48558 | Thread Measurement 1 &gt;&gt; F10X1 | Length [mm] &gt;&gt; 700 | Thread Measurement 2 &gt;&gt; o 10</t>
  </si>
  <si>
    <t>KIA &gt;&gt; 587313E200 | TRISCAN &gt;&gt; 815018151 | MALO &gt;&gt; 80674 | SAMKO &gt;&gt; 6T48558 | BLUE PRINT &gt;&gt; ADG053238</t>
  </si>
  <si>
    <t>Length [mm] &gt;&gt; 700 | for article number &gt;&gt; 6T48559 | Thread Measurement 1 &gt;&gt; F10X1 | Thread Measurement 2 &gt;&gt; o 10</t>
  </si>
  <si>
    <t>KIA &gt;&gt; 587323E200 | TRISCAN &gt;&gt; 815018150 | MALO &gt;&gt; 80675 | SAMKO &gt;&gt; 6T48559 | BLUE PRINT &gt;&gt; ADG053239</t>
  </si>
  <si>
    <t>Thread Measurement 1 &gt;&gt; F10X1 | Thread Measurement 2 &gt;&gt; o 10 | for article number &gt;&gt; 6T48560 | Length [mm] &gt;&gt; 700</t>
  </si>
  <si>
    <t>KIA &gt;&gt; 587313E100 | TRISCAN &gt;&gt; 815018139 | MALO &gt;&gt; 80917 | SAMKO &gt;&gt; 6T48560 | BLUE PRINT &gt;&gt; ADG053165</t>
  </si>
  <si>
    <t>Thread Measurement 1 &gt;&gt; F10X1 | Thread Measurement 2 &gt;&gt; o 10 | for article number &gt;&gt; 6T48561</t>
  </si>
  <si>
    <t>KIA &gt;&gt; 587323E100 | TRISCAN &gt;&gt; 815018138 | MALO &gt;&gt; 80918 | SAMKO &gt;&gt; 6T48561 | BLUE PRINT &gt;&gt; ADG053166</t>
  </si>
  <si>
    <t>for article number &gt;&gt; 6T48583 | Thread Measurement 1 &gt;&gt; F10X1 | Length [mm] &gt;&gt; 340 | Thread Measurement 2 &gt;&gt; F10X1</t>
  </si>
  <si>
    <t>VW &gt;&gt; 7D0611702B | ATE &gt;&gt; 83625503403 | PAGID &gt;&gt; 70884 | BOSCH &gt;&gt; 1987481540 | BENDIX &gt;&gt; 173233B | DELPHI &gt;&gt; LH6615 | TRISCAN &gt;&gt; 815029153 | CORTECO &gt;&gt; 19034273 | CEF &gt;&gt; 512758 | MALO &gt;&gt; 8971 | SAMKO &gt;&gt; 6T48583</t>
  </si>
  <si>
    <t>Thread Measurement 2 &gt;&gt; F10X1 | Thread Measurement 1 &gt;&gt; F10X1 | for article number &gt;&gt; 6T48585 | Length [mm] &gt;&gt; 320</t>
  </si>
  <si>
    <t>TOYOTA &gt;&gt; 9094702C53 | BOSCH &gt;&gt; 1987481181 | PEX &gt;&gt; 22111 | DELPHI &gt;&gt; LH6088 | TRISCAN &gt;&gt; 815013246 | CEF &gt;&gt; 512525 | MALO &gt;&gt; 80649 | SAMKO &gt;&gt; 6T48585 | BLUE PRINT &gt;&gt; ADT353204</t>
  </si>
  <si>
    <t>for article number &gt;&gt; 6T48586 | Thread Measurement 1 &gt;&gt; F10X1 | Thread Measurement 2 &gt;&gt; F10X1 | Length [mm] &gt;&gt; 295</t>
  </si>
  <si>
    <t>SUZUKI &gt;&gt; 5154084C00 | BOSCH &gt;&gt; 1987481365 | FTE &gt;&gt; 272E865E01 | DELPHI &gt;&gt; LH6517 | CEF &gt;&gt; 512305 | TRW &gt;&gt; PHD677 | SAMKO &gt;&gt; 6T48586 | BLUE PRINT &gt;&gt; ADK85328</t>
  </si>
  <si>
    <t>Thread Measurement 2 &gt;&gt; F10X1 | Thread Measurement 1 &gt;&gt; F10X1 | Length [mm] &gt;&gt; 450 | for article number &gt;&gt; 6T48588</t>
  </si>
  <si>
    <t>VW &gt;&gt; 3D0611701C | VW &gt;&gt; 3D0611701E | VW &gt;&gt; 3D0611701D | VW &gt;&gt; 3D0611701F | ATE &gt;&gt; 83784904193 | PEX &gt;&gt; 890020 | TRISCAN &gt;&gt; 815029259 | A.B.S. &gt;&gt; SL5873 | MALO &gt;&gt; 81012 | SAMKO &gt;&gt; 6T48588</t>
  </si>
  <si>
    <t>Length [mm] &gt;&gt; 715 | for article number &gt;&gt; 6T48589 | Thread Measurement 1 &gt;&gt; F10X1 | Thread Measurement 2 &gt;&gt; M10X1</t>
  </si>
  <si>
    <t>AUDI &gt;&gt; 4G0611707E | SEAT &gt;&gt; 4G0611707E | SKODA &gt;&gt; 4G0611707E | VW &gt;&gt; 4G0611707E | TRISCAN &gt;&gt; 815029285 | NK &gt;&gt; 8547167 | MALO &gt;&gt; 81023 | SAMKO &gt;&gt; 6T48589</t>
  </si>
  <si>
    <t>Thread Measurement 1 &gt;&gt; F10X1 | Thread Measurement 2 &gt;&gt; M10X1 | Length [mm] &gt;&gt; 470 | for article number &gt;&gt; 6T48590</t>
  </si>
  <si>
    <t>AUDI &gt;&gt; 4G0611775 | AUDI &gt;&gt; 4G0611775C | SEAT &gt;&gt; 4G0611775 | SKODA &gt;&gt; 4G0611775 | VW &gt;&gt; 4G0611775 | VW &gt;&gt; 4G0611775C | BOSCH &gt;&gt; 1987481601 | FTE &gt;&gt; 423E466E4 | TRISCAN &gt;&gt; 815029286 | NK &gt;&gt; 8547168 | MALO &gt;&gt; 81024 | SAMKO &gt;&gt; 6T48590</t>
  </si>
  <si>
    <t>Length [mm] &gt;&gt; 615 | for article number &gt;&gt; 6T48591 | Thread Measurement 1 &gt;&gt; F10X1 | Thread Measurement 2 &gt;&gt; M10X1</t>
  </si>
  <si>
    <t>BMW &gt;&gt; 34306792254 | BOSCH &gt;&gt; 1987481615 | BENDIX &gt;&gt; 173260B | TRISCAN &gt;&gt; 815011122 | CEF &gt;&gt; 514531 | MALO &gt;&gt; 81027 | SAMKO &gt;&gt; 6T48591</t>
  </si>
  <si>
    <t>for article number &gt;&gt; 6T48592 | Thread Measurement 1 &gt;&gt; F10X1 | Length [mm] &gt;&gt; 730 | Thread Measurement 2 &gt;&gt; M10X1</t>
  </si>
  <si>
    <t>BMW &gt;&gt; 34326775261 | BOSCH &gt;&gt; 1987481546 | BENDIX &gt;&gt; 173177B | FERODO &gt;&gt; FHY2854 | TRISCAN &gt;&gt; 815011238 | CEF &gt;&gt; 514502 | MALO &gt;&gt; 81028 | SAMKO &gt;&gt; 6T48592</t>
  </si>
  <si>
    <t>Length [mm] &gt;&gt; 330 | for article number &gt;&gt; 6T48593 | Thread Measurement 1 &gt;&gt; F10X1 | Thread Measurement 2 &gt;&gt; M10X1</t>
  </si>
  <si>
    <t>BMW &gt;&gt; 34326775259 | BOSCH &gt;&gt; 1987481617 | BENDIX &gt;&gt; 173263B | TRISCAN &gt;&gt; 815011227 | CEF &gt;&gt; 514569 | MALO &gt;&gt; 81029 | SAMKO &gt;&gt; 6T48593</t>
  </si>
  <si>
    <t>Thread Measurement 2 &gt;&gt; M10X1 | Length [mm] &gt;&gt; 525 | for article number &gt;&gt; 6T48594 | Thread Measurement 1 &gt;&gt; F10X1</t>
  </si>
  <si>
    <t>BMW &gt;&gt; 34326768124 | ATE &gt;&gt; 83775104953 | BOSCH &gt;&gt; 1987481590 | FERODO &gt;&gt; FHY2859 | TRISCAN &gt;&gt; 815011237 | A.B.S. &gt;&gt; SL5935 | CEF &gt;&gt; 514510 | SAMKO &gt;&gt; 6T48594</t>
  </si>
  <si>
    <t>Length [mm] &gt;&gt; 350 | for article number &gt;&gt; 6T48595 | Thread Measurement 1 &gt;&gt; F10X1 | Thread Measurement 2 &gt;&gt; M10X1</t>
  </si>
  <si>
    <t>BMW &gt;&gt; 34326789263 | BOSCH &gt;&gt; 1987481618 | TRISCAN &gt;&gt; 815011241 | A.B.S. &gt;&gt; SL6281 | CEF &gt;&gt; 514568 | SAMKO &gt;&gt; 6T48595</t>
  </si>
  <si>
    <t>Thread Measurement 2 &gt;&gt; M10X1 | for article number &gt;&gt; 6T48596 | Thread Measurement 1 &gt;&gt; F10X1</t>
  </si>
  <si>
    <t>MERCEDES-BENZ &gt;&gt; 2464200248 | TRISCAN &gt;&gt; 815023142 | MALO &gt;&gt; 81054 | SAMKO &gt;&gt; 6T48596</t>
  </si>
  <si>
    <t>Thread Measurement 2 &gt;&gt; M10X1 | for article number &gt;&gt; 6T48597 | Thread Measurement 1 &gt;&gt; F10X1</t>
  </si>
  <si>
    <t>MERCEDES-BENZ &gt;&gt; 2464200148 | TRISCAN &gt;&gt; 815023229 | MALO &gt;&gt; 81055 | SAMKO &gt;&gt; 6T48597</t>
  </si>
  <si>
    <t>Length [mm] &gt;&gt; 465 | for article number &gt;&gt; 6T48598 | Thread Measurement 1 &gt;&gt; F10X1 | Thread Measurement 2 &gt;&gt; M10X1</t>
  </si>
  <si>
    <t>MERCEDES-BENZ &gt;&gt; 9064280335 | ATE &gt;&gt; 24513104153 | BOSCH &gt;&gt; 1987481541 | BENDIX &gt;&gt; 173291B | FTE &gt;&gt; 415E425E1 | FERODO &gt;&gt; FHY2775 | TRISCAN &gt;&gt; 815023236 | NK &gt;&gt; 853356 | CORTECO &gt;&gt; 19036133 | A.B.S. &gt;&gt; SL6213 | CEF &gt;&gt; 512821 | TRW &gt;&gt; PHB652 | SAMKO &gt;&gt; 6T48598</t>
  </si>
  <si>
    <t>Length [mm] &gt;&gt; 510 | Thread Measurement 2 &gt;&gt; M10X1 | Thread Measurement 1 &gt;&gt; F10X1 | for article number &gt;&gt; 6T48599</t>
  </si>
  <si>
    <t>MERCEDES-BENZ &gt;&gt; 9064280635 | ATE &gt;&gt; 24513704553 | BOSCH &gt;&gt; 1987476297 | FTE &gt;&gt; 460E425E1 | QUINTON HAZELL &gt;&gt; BFH5896 | FERODO &gt;&gt; FHY2738 | PEX &gt;&gt; 890041 | DELPHI &gt;&gt; LH6736 | TRISCAN &gt;&gt; 815010119 | NK &gt;&gt; 853354 | A.B.S. &gt;&gt; SL6230 | CEF &gt;&gt; 512772 | SAMKO &gt;&gt; 6T48599</t>
  </si>
  <si>
    <t>Length [mm] &gt;&gt; 545 | for article number &gt;&gt; 6T48600 | Thread Measurement 1 &gt;&gt; F10X1 | Thread Measurement 2 &gt;&gt; M10X1</t>
  </si>
  <si>
    <t>MERCEDES-BENZ &gt;&gt; 9064280835 | ATE &gt;&gt; 24513704953 | BOSCH &gt;&gt; 1987481490 | FTE &gt;&gt; 500E425E1 | FERODO &gt;&gt; FHY2737 | PEX &gt;&gt; 890042 | TRISCAN &gt;&gt; 815010120 | NK &gt;&gt; 853359 | A.B.S. &gt;&gt; SL6229 | CEF &gt;&gt; 512771 | SAMKO &gt;&gt; 6T48600</t>
  </si>
  <si>
    <t>for article number &gt;&gt; 6T48601 | Thread Measurement 1 &gt;&gt; F10X1 | Length [mm] &gt;&gt; 450 | Thread Measurement 2 &gt;&gt; M10X1</t>
  </si>
  <si>
    <t>FORD &gt;&gt; 1681131 | FORD &gt;&gt; AV612282AC | QUINTON HAZELL &gt;&gt; BFH5993 | TRISCAN &gt;&gt; 815016305 | MALO &gt;&gt; 81037 | SAMKO &gt;&gt; 6T48601</t>
  </si>
  <si>
    <t>Length [mm] &gt;&gt; 450 | for article number &gt;&gt; 6T48602 | Thread Measurement 1 &gt;&gt; F10X1 | Thread Measurement 2 &gt;&gt; M10X1</t>
  </si>
  <si>
    <t>FORD &gt;&gt; 1682504 | FORD &gt;&gt; 8V512267AC | FORD &gt;&gt; 1702987 | FORD &gt;&gt; BV612C338BB | QUINTON HAZELL &gt;&gt; BFH5994 | TRISCAN &gt;&gt; 815016320 | MALO &gt;&gt; 81038 | SAMKO &gt;&gt; 6T48602</t>
  </si>
  <si>
    <t>Thread Measurement 2 &gt;&gt; o 10 | Thread Measurement 1 &gt;&gt; F10X1 | for article number &gt;&gt; 6T48603 | Length [mm] &gt;&gt; 640</t>
  </si>
  <si>
    <t>TOYOTA &gt;&gt; 9094702F93 | TOYOTA &gt;&gt; 9094702G44 | LEXUS &gt;&gt; 9094702F93 | BOSCH &gt;&gt; 1987481594 | TRISCAN &gt;&gt; 815013324 | MALO &gt;&gt; 81007 | SAMKO &gt;&gt; 6T48603</t>
  </si>
  <si>
    <t>for article number &gt;&gt; 6T48604 | Thread Measurement 1 &gt;&gt; F10X1 | Thread Measurement 2 &gt;&gt; o 10 | Length [mm] &gt;&gt; 640</t>
  </si>
  <si>
    <t>TOYOTA &gt;&gt; 9094702F92 | LEXUS &gt;&gt; 9094702F92 | BOSCH &gt;&gt; 1987481596 | QUINTON HAZELL &gt;&gt; BFH5863 | DELPHI &gt;&gt; LH6696 | TRISCAN &gt;&gt; 815013323 | TRW &gt;&gt; PHD1172 | MALO &gt;&gt; 81008 | SAMKO &gt;&gt; 6T48604 | BLUE PRINT &gt;&gt; ADT353390</t>
  </si>
  <si>
    <t>Thread Measurement 2 &gt;&gt; o 10 | Length [mm] &gt;&gt; 640 | for article number &gt;&gt; 6T48605 | Thread Measurement 1 &gt;&gt; F10X1</t>
  </si>
  <si>
    <t>TOYOTA &gt;&gt; 9094702G70 | BOSCH &gt;&gt; 1987481596 | TRISCAN &gt;&gt; 815013383 | SAMKO &gt;&gt; 6T48605</t>
  </si>
  <si>
    <t>Thread Measurement 2 &gt;&gt; F10X1 | Thread Measurement 1 &gt;&gt; F10X1 | Length [mm] &gt;&gt; 200 | for article number &gt;&gt; 6T48606</t>
  </si>
  <si>
    <t>TOYOTA &gt;&gt; 9094702F95 | QUINTON HAZELL &gt;&gt; BFH5864 | DELPHI &gt;&gt; LH6695 | TRISCAN &gt;&gt; 815013326 | MALO &gt;&gt; 81009 | SAMKO &gt;&gt; 6T48606</t>
  </si>
  <si>
    <t>Length [mm] &gt;&gt; 230 | for article number &gt;&gt; 6T48607 | Thread Measurement 1 &gt;&gt; F10X1 | Thread Measurement 2 &gt;&gt; F10X1</t>
  </si>
  <si>
    <t>TOYOTA &gt;&gt; 9094702F94 | QUINTON HAZELL &gt;&gt; BFH5865 | DELPHI &gt;&gt; LH6694 | TRISCAN &gt;&gt; 815013325 | MALO &gt;&gt; 81010 | SAMKO &gt;&gt; 6T48607</t>
  </si>
  <si>
    <t>Thread Measurement 1 &gt;&gt; F10X1 | Thread Measurement 2 &gt;&gt; F10X1 | Length [mm] &gt;&gt; 156 | for article number &gt;&gt; 6T48608</t>
  </si>
  <si>
    <t>TOYOTA &gt;&gt; 9094702E32 | ATE &gt;&gt; 24523501283 | BOSCH &gt;&gt; 1987481637 | BENDIX &gt;&gt; 173256B | TRISCAN &gt;&gt; 815013302 | NK &gt;&gt; 8545170 | CEF &gt;&gt; 514541 | TRW &gt;&gt; PHA604 | SAMKO &gt;&gt; 6T48608 | BLUE PRINT &gt;&gt; ADT353270</t>
  </si>
  <si>
    <t>Length [mm] &gt;&gt; 225 | for article number &gt;&gt; 6T48609 | Thread Measurement 1 &gt;&gt; F10X1 | Thread Measurement 2 &gt;&gt; F10X1</t>
  </si>
  <si>
    <t>DAIHATSU &gt;&gt; 90947W2010 | TOYOTA &gt;&gt; 90947W2010 | ATE &gt;&gt; 24526101953 | BOSCH &gt;&gt; 1987481413 | BENDIX &gt;&gt; 173134B | FERODO &gt;&gt; FHY2702 | TRISCAN &gt;&gt; 815013337 | NK &gt;&gt; 8545171 | A.B.S. &gt;&gt; SL6214 | CEF &gt;&gt; 512730 | TRW &gt;&gt; PHA483 | MALO &gt;&gt; 80943 | SAMKO &gt;&gt; 6T48609 | BLUE PRINT &gt;&gt; ADT353362</t>
  </si>
  <si>
    <t>for article number &gt;&gt; 6T48610 | Thread Measurement 1 &gt;&gt; F10X1 | Length [mm] &gt;&gt; 285 | Thread Measurement 2 &gt;&gt; F10X1</t>
  </si>
  <si>
    <t>DAIHATSU &gt;&gt; 90947W2009 | TOYOTA &gt;&gt; 90947W2009 | ATE &gt;&gt; 24526102553 | BOSCH &gt;&gt; 1987481412 | BENDIX &gt;&gt; 173133B | FERODO &gt;&gt; FHY2701 | TRISCAN &gt;&gt; 815013336 | NK &gt;&gt; 8545172 | A.B.S. &gt;&gt; SL6209 | CEF &gt;&gt; 512729 | TRW &gt;&gt; PHA482 | MALO &gt;&gt; 80942 | SAMKO &gt;&gt; 6T48610 | BLUE PRINT &gt;&gt; ADT353363</t>
  </si>
  <si>
    <t>Length [mm] &gt;&gt; 405 | for article number &gt;&gt; 6T48611 | Thread Measurement 1 &gt;&gt; F10X1 | Thread Measurement 2 &gt;&gt; M10X1</t>
  </si>
  <si>
    <t>RENAULT &gt;&gt; 8200735345 | RENAULT TRUCKS &gt;&gt; 8200735345 | TRISCAN &gt;&gt; 815025146 | NK &gt;&gt; 853971 | CORTECO &gt;&gt; 19037185 | TRW &gt;&gt; PHB907 | MALO &gt;&gt; 81004 | SAMKO &gt;&gt; 6T48611</t>
  </si>
  <si>
    <t>Thread Measurement 1 &gt;&gt; F10X1 | for article number &gt;&gt; 6T48612 | Length [mm] &gt;&gt; 620 | Thread Measurement 2 &gt;&gt; M10X1</t>
  </si>
  <si>
    <t>RENAULT &gt;&gt; 462102638R | RENAULT &gt;&gt; 8200735348 | RENAULT TRUCKS &gt;&gt; 8200735348 | RENAULT TRUCKS &gt;&gt; 462102638R | TRISCAN &gt;&gt; 815025257 | NK &gt;&gt; 853972 | MALO &gt;&gt; 81005 | SAMKO &gt;&gt; 6T48612</t>
  </si>
  <si>
    <t>Length [mm] &gt;&gt; 211 | for article number &gt;&gt; 6T48613 | Thread Measurement 1 &gt;&gt; F10X1 | Thread Measurement 2 &gt;&gt; F10X1</t>
  </si>
  <si>
    <t>NISSAN &gt;&gt; 46210JG011 | BOSCH &gt;&gt; 1987481628 | TRISCAN &gt;&gt; 815014277 | NK &gt;&gt; 853997 | CORTECO &gt;&gt; 19036997 | SAMKO &gt;&gt; 6T48613 | BLUE PRINT &gt;&gt; ADN153178</t>
  </si>
  <si>
    <t>Thread Measurement 2 &gt;&gt; F10X1 | Length [mm] &gt;&gt; 525 | for article number &gt;&gt; 6T48614 | Thread Measurement 1 &gt;&gt; o 10</t>
  </si>
  <si>
    <t>SEAT &gt;&gt; 1S0611701 | SKODA &gt;&gt; 1S0611701 | VW &gt;&gt; 1S0611701 | TRISCAN &gt;&gt; 815029173 | NK &gt;&gt; 8547181 | MALO &gt;&gt; 81058 | SAMKO &gt;&gt; 6T48614</t>
  </si>
  <si>
    <t>Thread Measurement 2 &gt;&gt; F10X1 | Thread Measurement 1 &gt;&gt; F10X1 | Length [mm] &gt;&gt; 175 | for article number &gt;&gt; 6T48615</t>
  </si>
  <si>
    <t>SEAT &gt;&gt; 1S0611775 | SKODA &gt;&gt; 1S0611775 | VW &gt;&gt; 1S0611775 | TRISCAN &gt;&gt; 815029342 | NK &gt;&gt; 8547182 | MALO &gt;&gt; 81059 | SAMKO &gt;&gt; 6T48615</t>
  </si>
  <si>
    <t>Thread Measurement 2 &gt;&gt; F10X1 | Length [mm] &gt;&gt; 615 | for article number &gt;&gt; 6T48616 | Thread Measurement 1 &gt;&gt; o 10</t>
  </si>
  <si>
    <t>SKODA &gt;&gt; 3AA611701A | VW &gt;&gt; 3AA611701A | BOSCH &gt;&gt; 1987481173 | BENDIX &gt;&gt; 173259B | DELPHI &gt;&gt; LH6458 | TRISCAN &gt;&gt; 815029317 | NK &gt;&gt; 8547135 | CEF &gt;&gt; 514556 | MALO &gt;&gt; 81011 | SAMKO &gt;&gt; 6T48616</t>
  </si>
  <si>
    <t>Thread Measurement 2 &gt;&gt; F10X1 | Thread Measurement 1 &gt;&gt; o 10 | for article number &gt;&gt; 6T48617 | Length [mm] &gt;&gt; 650</t>
  </si>
  <si>
    <t>AUDI &gt;&gt; 5Q0611701C | SEAT &gt;&gt; 5Q0611701C | SKODA &gt;&gt; 5Q0611701C | VW &gt;&gt; 5Q0611701C | TRISCAN &gt;&gt; 815029165 | NK &gt;&gt; 8547170 | MALO &gt;&gt; 81066 | SAMKO &gt;&gt; 6T48617</t>
  </si>
  <si>
    <t>Length [mm] &gt;&gt; 590 | for article number &gt;&gt; 6T48618 | Thread Measurement 1 &gt;&gt; o 10 | Thread Measurement 2 &gt;&gt; F10X1</t>
  </si>
  <si>
    <t>SEAT &gt;&gt; 561611701 | VW &gt;&gt; 561611701 | TRISCAN &gt;&gt; 815029176 | CEF &gt;&gt; 514555 | MALO &gt;&gt; 81068 | SAMKO &gt;&gt; 6T48618</t>
  </si>
  <si>
    <t>for article number &gt;&gt; 6T48619 | Thread Measurement 1 &gt;&gt; F10X1 | Length [mm] &gt;&gt; 610 | Thread Measurement 2 &gt;&gt; M10X1</t>
  </si>
  <si>
    <t>VW &gt;&gt; 7H8611701B | VW &gt;&gt; 7H8611701 | VW &gt;&gt; 7H8611701A | ATE &gt;&gt; 83611305523 | BOSCH &gt;&gt; 1987481664 | BENDIX &gt;&gt; 173251B | FTE &gt;&gt; 552E476E1 | TRISCAN &gt;&gt; 815029139 | NK &gt;&gt; 8547139 | A.B.S. &gt;&gt; SL6263 | CEF &gt;&gt; 514580 | SAMKO &gt;&gt; 6T48619</t>
  </si>
  <si>
    <t>Thread Measurement 2 &gt;&gt; M10X1 | Length [mm] &gt;&gt; 476 | for article number &gt;&gt; 6T48620 | Thread Measurement 1 &gt;&gt; F10X1</t>
  </si>
  <si>
    <t>RENAULT &gt;&gt; 462108452R | DACIA &gt;&gt; 462108452R | RENAULT TRUCKS &gt;&gt; 462108452R | TRISCAN &gt;&gt; 815025125 | CORTECO &gt;&gt; 19037187 | SAMKO &gt;&gt; 6T48620</t>
  </si>
  <si>
    <t>Tensioner Pulley, timing belt</t>
  </si>
  <si>
    <t>for article number &gt;&gt; AA10328</t>
  </si>
  <si>
    <t>CITROEN &gt;&gt; 9635336880 | PEUGEOT &gt;&gt; 082023 | PEUGEOT &gt;&gt; 082969 | RUVILLE &gt;&gt; 55938 | GATES &gt;&gt; T43050 | DAYCO &gt;&gt; ATB2149 | SKF &gt;&gt; VKM13214 | QUINTON HAZELL &gt;&gt; QTT1017 | FEBI BILSTEIN &gt;&gt; 19190 | SNR &gt;&gt; GT35921 | OPTIMAL &gt;&gt; 0N1058 | VAICO &gt;&gt; V420179 | HEPU &gt;&gt; 140371 | SWAG &gt;&gt; 62919190 | INA &gt;&gt; 531052910 | AUTEX &gt;&gt; 641376 | SAMKO &gt;&gt; AA10328</t>
  </si>
  <si>
    <t>Deflection/Guide Pulley, v-ribbed belt</t>
  </si>
  <si>
    <t>for article number &gt;&gt; AA10329</t>
  </si>
  <si>
    <t>RENAULT &gt;&gt; 7700864573 | RENAULT TRUCKS &gt;&gt; 7700864573 | RUVILLE &gt;&gt; 55533 | GATES &gt;&gt; T36045 | DAYCO &gt;&gt; APV2138 | SKF &gt;&gt; VKM36011 | QUINTON HAZELL &gt;&gt; QTA745 | SNR &gt;&gt; GA35573 | OPTIMAL &gt;&gt; 0N2013 | INA &gt;&gt; 532017410 | AUTEX &gt;&gt; 651334 | SAMKO &gt;&gt; AA10329 | VEMA &gt;&gt; 65514173</t>
  </si>
  <si>
    <t>Tensioner Pulley, v-ribbed belt</t>
  </si>
  <si>
    <t>for article number &gt;&gt; AA10330</t>
  </si>
  <si>
    <t>RENAULT &gt;&gt; 5010477345 | RENAULT TRUCKS &gt;&gt; 5010477345 | SKF &gt;&gt; VKMCV54004 | FEBI BILSTEIN &gt;&gt; 27349 | SAMKO &gt;&gt; AA10330</t>
  </si>
  <si>
    <t>for article number &gt;&gt; AA10331</t>
  </si>
  <si>
    <t>RENAULT &gt;&gt; 5010412956 | RENAULT TRUCKS &gt;&gt; 5010412956 | RUVILLE &gt;&gt; 58819 | DAYCO &gt;&gt; APV2393 | SKF &gt;&gt; VKMCV54003 | FEBI BILSTEIN &gt;&gt; 23363 | INA &gt;&gt; 531061530 | AUTEX &gt;&gt; 654111 | SAMKO &gt;&gt; AA10331</t>
  </si>
  <si>
    <t>for article number &gt;&gt; AA10332</t>
  </si>
  <si>
    <t>RENAULT &gt;&gt; 5010412957 | RENAULT TRUCKS &gt;&gt; 5010412957 | SPIDAN &gt;&gt; 69818 | RUVILLE &gt;&gt; 58818 | GATES &gt;&gt; T38562 | DAYCO &gt;&gt; APV2395 | SKF &gt;&gt; VKMCV54002 | FEBI BILSTEIN &gt;&gt; 23365 | INA &gt;&gt; 531061430 | AUTEX &gt;&gt; 654110 | SAMKO &gt;&gt; AA10332</t>
  </si>
  <si>
    <t>for article number &gt;&gt; AA10333</t>
  </si>
  <si>
    <t>RUVILLE &gt;&gt; 58820 | GATES &gt;&gt; T38566 | DAYCO &gt;&gt; APV2454 | SKF &gt;&gt; VKMCV54001 | FEBI BILSTEIN &gt;&gt; 23367 | INA &gt;&gt; 531061630 | AUTEX &gt;&gt; 654134 | SAMKO &gt;&gt; AA10333</t>
  </si>
  <si>
    <t>for article number &gt;&gt; AA10334</t>
  </si>
  <si>
    <t>IVECO &gt;&gt; 500332622 | RENAULT &gt;&gt; 5010284907 | RENAULT &gt;&gt; 5010553544 | RENAULT TRUCKS &gt;&gt; 5010553544 | RENAULT TRUCKS &gt;&gt; 5010284907 | RUVILLE &gt;&gt; 55595 | GATES &gt;&gt; T38588 | SKF &gt;&gt; VKMCV52004 | SNR &gt;&gt; GA34003 | OPTIMAL &gt;&gt; 0N1480S | INA &gt;&gt; 531048010 | AUTEX &gt;&gt; 601894 | SAMKO &gt;&gt; AA10334</t>
  </si>
  <si>
    <t>Belt Tensioner, v-ribbed belt</t>
  </si>
  <si>
    <t>for article number &gt;&gt; AA10335</t>
  </si>
  <si>
    <t>RUVILLE &gt;&gt; 55554 | GATES &gt;&gt; T38457 | DAYCO &gt;&gt; APV2266 | SKF &gt;&gt; VKM36032 | QUINTON HAZELL &gt;&gt; QTA1026 | QUINTON HAZELL &gt;&gt; QTA1209 | FEBI BILSTEIN &gt;&gt; 21307 | TRISCAN &gt;&gt; 8641103009 | SNR &gt;&gt; GA35595 | OPTIMAL &gt;&gt; 0N1470S | JAPANPARTS &gt;&gt; TS500 | VAICO &gt;&gt; V950181 | HEPU &gt;&gt; 100054 | SWAG &gt;&gt; 60921307 | INA &gt;&gt; 534002510 | ASHIKA &gt;&gt; 12805500 | AUTEX &gt;&gt; 601059 | SAMKO &gt;&gt; AA10335 | ASHUKI &gt;&gt; 129687A</t>
  </si>
  <si>
    <t>for article number &gt;&gt; AA10336</t>
  </si>
  <si>
    <t>RENAULT &gt;&gt; 8200065970 | RENAULT &gt;&gt; 8200230958 | RENAULT TRUCKS &gt;&gt; 8200230958 | RENAULT TRUCKS &gt;&gt; 8200065970 | RUVILLE &gt;&gt; 55599 | GATES &gt;&gt; T38355 | DAYCO &gt;&gt; APV2364 | SKF &gt;&gt; VKM36035 | QUINTON HAZELL &gt;&gt; QTA1209 | FEBI BILSTEIN &gt;&gt; 22855 | TRISCAN &gt;&gt; 8641253004 | SNR &gt;&gt; GA35598 | OPTIMAL &gt;&gt; 0N1469S | VAICO &gt;&gt; V460316 | HEPU &gt;&gt; 100747 | SWAG &gt;&gt; 60922855 | INA &gt;&gt; 533004920 | AUTEX &gt;&gt; 601752 | SAMKO &gt;&gt; AA10336</t>
  </si>
  <si>
    <t>Deflection/Guide Pulley, timing belt</t>
  </si>
  <si>
    <t>for article number &gt;&gt; AA10337</t>
  </si>
  <si>
    <t>RENAULT &gt;&gt; 7700108626 | RENAULT &gt;&gt; 8200483288 | RENAULT TRUCKS &gt;&gt; 8200483288 | RENAULT TRUCKS &gt;&gt; 7700108626 | RUVILLE &gt;&gt; 55540 | BOSCH &gt;&gt; 1987949915 | GATES &gt;&gt; T42167 | DAYCO &gt;&gt; ATB2285 | SKF &gt;&gt; VKM26310 | QUINTON HAZELL &gt;&gt; QTT871 | PEX &gt;&gt; 203329 | METZGER &gt;&gt; WMATB2285 | FEBI BILSTEIN &gt;&gt; 19845 | SNR &gt;&gt; GE35539 | OPTIMAL &gt;&gt; 0N1259 | VAICO &gt;&gt; V460515 | HEPU &gt;&gt; 150274 | SWAG &gt;&gt; 60919845 | INA &gt;&gt; 532030810 | AUTEX &gt;&gt; 651279 | SAMKO &gt;&gt; AA10337 | ASHUKI &gt;&gt; 145108A</t>
  </si>
  <si>
    <t>for article number &gt;&gt; AA10338</t>
  </si>
  <si>
    <t>OPEL &gt;&gt; 4410548 | OPEL &gt;&gt; 93160244 | RENAULT &gt;&gt; 8200064664 | RENAULT TRUCKS &gt;&gt; 8200064664 | RUVILLE &gt;&gt; 55587 | BOSCH &gt;&gt; 1987949924 | GATES &gt;&gt; T42166 | DAYCO &gt;&gt; ATB2227 | SKF &gt;&gt; VKM26105 | QUINTON HAZELL &gt;&gt; MTT1043 | QUINTON HAZELL &gt;&gt; QTT1043 | METZGER &gt;&gt; WMATB2227 | FEBI BILSTEIN &gt;&gt; 21759 | SNR &gt;&gt; GE35543 | OPTIMAL &gt;&gt; 0N1365 | VAICO &gt;&gt; V400820 | AIRTEX &gt;&gt; ID0044 | HEPU &gt;&gt; 150871 | SWAG &gt;&gt; 60921759 | INA &gt;&gt; 532044610 | NIPPARTS &gt;&gt; J1141031 | AUTEX &gt;&gt; 651876 | SAMKO &gt;&gt; AA10338 | BLUE PRINT &gt;&gt; ADZ97615 | ASHUKI &gt;&gt; 104287A</t>
  </si>
  <si>
    <t>for article number &gt;&gt; AA10339</t>
  </si>
  <si>
    <t>FORD &gt;&gt; 1229537 | NISSAN &gt;&gt; 1175000QAT | PEUGEOT &gt;&gt; 575188 | RENAULT &gt;&gt; 8200518424 | RENAULT &gt;&gt; 8200325115 | RENAULT &gt;&gt; 8200324532 | RENAULT &gt;&gt; 8200769155 | RENAULT TRUCKS &gt;&gt; 8200518424 | RENAULT TRUCKS &gt;&gt; 8200325115 | RENAULT TRUCKS &gt;&gt; 8200324532 | RENAULT TRUCKS &gt;&gt; 8200769155 | RUVILLE &gt;&gt; 55603 | GATES &gt;&gt; T39011 | DAYCO &gt;&gt; APV2544 | SKF &gt;&gt; VKM36056 | FEBI BILSTEIN &gt;&gt; 30248 | SNR &gt;&gt; GA35520 | OPTIMAL &gt;&gt; 0N1743 | VAICO &gt;&gt; V460417 | SWAG &gt;&gt; 60930248 | INA &gt;&gt; 531081110 | AUTEX &gt;&gt; 654465 | SAMKO &gt;&gt; AA10339</t>
  </si>
  <si>
    <t>for article number &gt;&gt; AA10340</t>
  </si>
  <si>
    <t>RENAULT &gt;&gt; 8200061345 | RENAULT &gt;&gt; 7700108920 | RENAULT &gt;&gt; 7700114860 | RENAULT &gt;&gt; 8200989169 | RENAULT &gt;&gt; 8200676404 | RENAULT &gt;&gt; 8200499909 | RENAULT &gt;&gt; 8200676403 | RENAULT &gt;&gt; 8200989172 | RENAULT &gt;&gt; 8200222092 | RENAULT &gt;&gt; 8200499908 | RENAULT &gt;&gt; 8200989174 | RENAULT &gt;&gt; 8200086697 | RENAULT TRUCKS &gt;&gt; 8200989169 | RENAULT TRUCKS &gt;&gt; 7700114860 | RENAULT TRUCKS &gt;&gt; 8200676404 | RENAULT TRUCKS &gt;&gt; 8200676403 | RENAULT TRUCKS &gt;&gt; 7700108920 | RENAULT TRUCKS &gt;&gt; 8200499909 | RENAULT TRUCKS &gt;&gt; 8200499908 | RENAULT TRUCKS &gt;&gt; 8200222092 | RENAULT TRUCKS &gt;&gt; 8200086697 | RENAULT TRUCKS &gt;&gt; 8200989172 | RENAULT TRUCKS &gt;&gt; 8200061345 | RENAULT TRUCKS &gt;&gt; 8200989174 | RUVILLE &gt;&gt; 55555 | BOSCH &gt;&gt; 1987949908 | GATES &gt;&gt; T43035 | DAYCO &gt;&gt; ATB2223 | SKF &gt;&gt; VKM16550 | QUINTON HAZELL &gt;&gt; QTT980 | QUINTON HAZELL &gt;&gt; MTT980 | PEX &gt;&gt; 203314 | METZGER &gt;&gt; WMATB2223 | FEBI BILSTEIN &gt;&gt; 19846 | SNR &gt;&gt; GT35536 | OPTIMAL &gt;&gt; 0N200 | AIRTEX &gt;&gt; TP0074 | HEPU &gt;&gt; 140166 | SWAG &gt;&gt; 60919846 | INA &gt;&gt; 531041030 | INA &gt;&gt; 531063030 | AUTEX &gt;&gt; 641171 | SAMKO &gt;&gt; AA10340 | ASHUKI &gt;&gt; 135108A</t>
  </si>
  <si>
    <t>for article number &gt;&gt; AA10341</t>
  </si>
  <si>
    <t>RENAULT &gt;&gt; 7700862743 | RENAULT TRUCKS &gt;&gt; 7700862743 | RUVILLE &gt;&gt; 55558 | GATES &gt;&gt; T36050 | DAYCO &gt;&gt; APV2056 | SKF &gt;&gt; VKM36019 | QUINTON HAZELL &gt;&gt; QTA742 | FEBI BILSTEIN &gt;&gt; 09785 | SNR &gt;&gt; GA35569 | VAICO &gt;&gt; V460312 | HEPU &gt;&gt; 140057 | SWAG &gt;&gt; 60030050 | INA &gt;&gt; 531037410 | AUTEX &gt;&gt; 641062 | SAMKO &gt;&gt; AA10341 | VEMA &gt;&gt; 65572018</t>
  </si>
  <si>
    <t>for article number &gt;&gt; AA10342</t>
  </si>
  <si>
    <t>ROVER &gt;&gt; LHP100900 | RUVILLE &gt;&gt; 56137 | GATES &gt;&gt; T43141 | DAYCO &gt;&gt; ATB2005 | SKF &gt;&gt; VKM17301 | QUINTON HAZELL &gt;&gt; MTT956 | QUINTON HAZELL &gt;&gt; QTT956 | METZGER &gt;&gt; WMATB2005 | SNR &gt;&gt; GT36115 | OPTIMAL &gt;&gt; 0N1272 | VAICO &gt;&gt; V490003 | HEPU &gt;&gt; 141028 | INA &gt;&gt; 531067630 | AUTEX &gt;&gt; 642033 | SAMKO &gt;&gt; AA10342</t>
  </si>
  <si>
    <t>Tensioner Lever, v-ribbed belt</t>
  </si>
  <si>
    <t>for article number &gt;&gt; AA10343</t>
  </si>
  <si>
    <t>ROVER &gt;&gt; PQG100141 | ROVER &gt;&gt; PQG100142 | LAND ROVER &gt;&gt; PQG100141L | RUVILLE &gt;&gt; 56136 | GATES &gt;&gt; T38491 | SKF &gt;&gt; VKM37020 | TRISCAN &gt;&gt; 8641173005 | OPTIMAL &gt;&gt; 0N1742 | OPTIMAL &gt;&gt; 0N1742S | INA &gt;&gt; 534027010 | AUTEX &gt;&gt; 654568 | SAMKO &gt;&gt; AA10343</t>
  </si>
  <si>
    <t>for article number &gt;&gt; AA10344</t>
  </si>
  <si>
    <t>SAAB &gt;&gt; 4356127 | RUVILLE &gt;&gt; 56403 | GATES &gt;&gt; T38083 | DAYCO &gt;&gt; APV2131 | SKF &gt;&gt; VKM34501 | QUINTON HAZELL &gt;&gt; QTA1018 | FEBI BILSTEIN &gt;&gt; 19662 | TRISCAN &gt;&gt; 8641173005 | OPTIMAL &gt;&gt; 0N1742 | INA &gt;&gt; 532014610 | AUTEX &gt;&gt; 654568 | SAMKO &gt;&gt; AA10344</t>
  </si>
  <si>
    <t>for article number &gt;&gt; AA10345</t>
  </si>
  <si>
    <t>SAAB &gt;&gt; 4898755 | RUVILLE &gt;&gt; 56405 | GATES &gt;&gt; T38226 | DAYCO &gt;&gt; APV1003 | SKF &gt;&gt; VKM34510 | QUINTON HAZELL &gt;&gt; QTA1119 | FEBI BILSTEIN &gt;&gt; 19484 | TRISCAN &gt;&gt; 8641653001 | SNR &gt;&gt; GA36402 | OPTIMAL &gt;&gt; 0N1410 | SWAG &gt;&gt; 57919484 | INA &gt;&gt; 533002210 | AUTEX &gt;&gt; 601380 | SAMKO &gt;&gt; AA10345</t>
  </si>
  <si>
    <t>for article number &gt;&gt; AA10346</t>
  </si>
  <si>
    <t>SCANIA &gt;&gt; 1428940 | SCANIA &gt;&gt; 1353717 | SCANIA &gt;&gt; 1514086 | RUVILLE &gt;&gt; 56413 | GATES &gt;&gt; T36135 | DAYCO &gt;&gt; APV2645 | SKF &gt;&gt; VKMCV56002 | FEBI BILSTEIN &gt;&gt; 09781 | OPTIMAL &gt;&gt; 0N1730 | SWAG &gt;&gt; 58030001 | INA &gt;&gt; 532019810 | AUTEX &gt;&gt; 651748 | SAMKO &gt;&gt; AA10346</t>
  </si>
  <si>
    <t>for article number &gt;&gt; AA10347</t>
  </si>
  <si>
    <t>SAAB &gt;&gt; 4967907 | SAAB &gt;&gt; 4968590 | RUVILLE &gt;&gt; 56414 | GATES &gt;&gt; T36079 | DAYCO &gt;&gt; APV2176 | SKF &gt;&gt; VKM34023 | QUINTON HAZELL &gt;&gt; QTA1332 | PEX &gt;&gt; 203350 | FEBI BILSTEIN &gt;&gt; 22383 | TRISCAN &gt;&gt; 8641652003 | SNR &gt;&gt; GA36409 | OPTIMAL &gt;&gt; 0N1429 | SWAG &gt;&gt; 57922383 | INA &gt;&gt; 532032530 | AUTEX &gt;&gt; 651846 | SAMKO &gt;&gt; AA10347</t>
  </si>
  <si>
    <t>for article number &gt;&gt; AA10348</t>
  </si>
  <si>
    <t>AUDI &gt;&gt; 036109243S | AUDI &gt;&gt; 036109243K | VW &gt;&gt; 036109243AC | VW &gt;&gt; 036109243AG | RUVILLE &gt;&gt; 55461 | BOSCH &gt;&gt; 1987949852 | GATES &gt;&gt; T43140 | DAYCO &gt;&gt; ATB2277 | SKF &gt;&gt; VKM11124 | QUINTON HAZELL &gt;&gt; QTT905 | PEX &gt;&gt; 203247 | METZGER &gt;&gt; WMATB2277 | FEBI BILSTEIN &gt;&gt; 15888 | SNR &gt;&gt; GT35726 | OPTIMAL &gt;&gt; 0N1263 | VAICO &gt;&gt; V101802 | AIRTEX &gt;&gt; TP0051 | HEPU &gt;&gt; 140030 | SWAG &gt;&gt; 30030083 | INA &gt;&gt; 531033910 | AUTEX &gt;&gt; 641035 | SAMKO &gt;&gt; AA10348 | ASHUKI &gt;&gt; 111148A</t>
  </si>
  <si>
    <t>for article number &gt;&gt; AA10349</t>
  </si>
  <si>
    <t>AUDI &gt;&gt; 06B109244 | RUVILLE &gt;&gt; 55730 | BOSCH &gt;&gt; 1987949833 | GATES &gt;&gt; T42019 | DAYCO &gt;&gt; ATB2268 | SKF &gt;&gt; VKM21220 | QUINTON HAZELL &gt;&gt; QTT1009 | PEX &gt;&gt; 203312 | METZGER &gt;&gt; WMATB2268 | FEBI BILSTEIN &gt;&gt; 19292 | SNR &gt;&gt; GE35732 | OPTIMAL &gt;&gt; 0N1316 | VAICO &gt;&gt; V102095 | AIRTEX &gt;&gt; ID0033 | HEPU &gt;&gt; 150645 | SWAG &gt;&gt; 30919292 | INA &gt;&gt; 532071410 | INA &gt;&gt; 532031220 | AUTEX &gt;&gt; 651650 | SAMKO &gt;&gt; AA10349 | ASHUKI &gt;&gt; 170708A</t>
  </si>
  <si>
    <t>for article number &gt;&gt; AA10350</t>
  </si>
  <si>
    <t>VW &gt;&gt; 028145278M | RUVILLE &gt;&gt; 56301 | GATES &gt;&gt; T38372 | SKF &gt;&gt; VKM31025 | QUINTON HAZELL &gt;&gt; QTA1328 | SNR &gt;&gt; GA35721 | OPTIMAL &gt;&gt; 0N1675 | VAICO &gt;&gt; V101811 | HEPU &gt;&gt; 153082 | INA &gt;&gt; 531079110 | AUTEX &gt;&gt; 654087 | SAMKO &gt;&gt; AA10350 | ASHUKI &gt;&gt; 190096A</t>
  </si>
  <si>
    <t>for article number &gt;&gt; AA10351</t>
  </si>
  <si>
    <t>AUDI &gt;&gt; 06B109243B | VW &gt;&gt; 06B109243E | RUVILLE &gt;&gt; 55496 | BOSCH &gt;&gt; 1987949820 | GATES &gt;&gt; T43018 | DAYCO &gt;&gt; ATB2145 | SKF &gt;&gt; VKM11018 | QUINTON HAZELL &gt;&gt; QTT1058 | METZGER &gt;&gt; WMATB2145 | FEBI BILSTEIN &gt;&gt; 18554 | SNR &gt;&gt; GT35748 | OPTIMAL &gt;&gt; 0N1050 | MEYLE &gt;&gt; 1001090049 | VAICO &gt;&gt; V100554 | AIRTEX &gt;&gt; TP0067 | HEPU &gt;&gt; 140266 | SWAG &gt;&gt; 30918554 | INA &gt;&gt; 531053120 | AUTEX &gt;&gt; 641271 | SAMKO &gt;&gt; AA10351 | ASHUKI &gt;&gt; 154418A</t>
  </si>
  <si>
    <t>for article number &gt;&gt; AA10352</t>
  </si>
  <si>
    <t>SUBARU &gt;&gt; 13073AA081 | SUBARU &gt;&gt; 13073AA082 | SUBARU &gt;&gt; 13073AA180 | SUBARU &gt;&gt; 13073AA140 | SUBARU &gt;&gt; 13073AA142 | RUVILLE &gt;&gt; 58101 | GATES &gt;&gt; T42039 | DAYCO &gt;&gt; ATB2259 | SKF &gt;&gt; VKM88000 | QUINTON HAZELL &gt;&gt; QTT444 | PEX &gt;&gt; 203252 | FEBI BILSTEIN &gt;&gt; 26217 | SNR &gt;&gt; GE38101 | OPTIMAL &gt;&gt; 0N1225 | JAPANPARTS &gt;&gt; BE701 | VAICO &gt;&gt; V630012 | HEPU &gt;&gt; 150221 | KAVO PARTS &gt;&gt; DID8002 | SWAG &gt;&gt; 86926217 | INA &gt;&gt; 532008420 | ASHIKA &gt;&gt; 4507701 | NIPPARTS &gt;&gt; J1147002 | AUTEX &gt;&gt; 651226 | SAMKO &gt;&gt; AA10352 | ASHUKI &gt;&gt; S31010</t>
  </si>
  <si>
    <t>for article number &gt;&gt; AA10353</t>
  </si>
  <si>
    <t>SUBARU &gt;&gt; 13085AA010 | SUBARU &gt;&gt; 13085AA080 | SUBARU &gt;&gt; 13085AA070 | SUBARU &gt;&gt; 13085AA100 | RUVILLE &gt;&gt; 58102 | GATES &gt;&gt; T42024 | DAYCO &gt;&gt; ATB2260 | SKF &gt;&gt; VKM88001 | QUINTON HAZELL &gt;&gt; QTT445 | FEBI BILSTEIN &gt;&gt; 26219 | SNR &gt;&gt; GE38100 | VAICO &gt;&gt; V630013 | KAVO PARTS &gt;&gt; DID8003 | SWAG &gt;&gt; 86926219 | INA &gt;&gt; 532008520 | NIPPARTS &gt;&gt; J1147020 | SAMKO &gt;&gt; AA10353 | ASHUKI &gt;&gt; S31020</t>
  </si>
  <si>
    <t>for article number &gt;&gt; AA10354</t>
  </si>
  <si>
    <t>SCANIA &gt;&gt; 1371788 | SCANIA &gt;&gt; 1493670 | SCANIA &gt;&gt; 1774651 | SCANIA &gt;&gt; 1545982 | SCANIA &gt;&gt; 1459988 | SCANIA &gt;&gt; 1512181 | SCANIA &gt;&gt; 1503113 | SCANIA &gt;&gt; 1859654 | RUVILLE &gt;&gt; 58821 | GATES &gt;&gt; T38564 | DAYCO &gt;&gt; APV1057 | SKF &gt;&gt; VKMCV56009 | SKF &gt;&gt; VKMCV56001 | FEBI BILSTEIN &gt;&gt; 18528 | MEYLE &gt;&gt; 8340000001 | SWAG &gt;&gt; 99918528 | INA &gt;&gt; 531061730 | AUTEX &gt;&gt; 654112 | SAMKO &gt;&gt; AA10354</t>
  </si>
  <si>
    <t>for article number &gt;&gt; AA10355</t>
  </si>
  <si>
    <t>SCANIA &gt;&gt; 1459981 | SCANIA &gt;&gt; 1503114 | SCANIA &gt;&gt; 1859655 | SCANIA &gt;&gt; 1476395 | SCANIA &gt;&gt; 1774652 | SCANIA &gt;&gt; 1545983 | RUVILLE &gt;&gt; 58803 | GATES &gt;&gt; T38564 | DAYCO &gt;&gt; APV1053 | SKF &gt;&gt; VKMCV56004 | FEBI BILSTEIN &gt;&gt; 18530 | MEYLE &gt;&gt; 8340000003 | INA &gt;&gt; 531048410 | SAMKO &gt;&gt; AA10355</t>
  </si>
  <si>
    <t>for article number &gt;&gt; AA10356</t>
  </si>
  <si>
    <t>SCANIA &gt;&gt; 1438743 | SCANIA &gt;&gt; 1545984 | SCANIA &gt;&gt; 1859656 | SCANIA &gt;&gt; 1503115 | SCANIA &gt;&gt; 1774653 | RUVILLE &gt;&gt; 58802 | GATES &gt;&gt; T38650 | DAYCO &gt;&gt; APV1052 | SKF &gt;&gt; VKMCV56005 | FEBI BILSTEIN &gt;&gt; 18529 | MEYLE &gt;&gt; 8340000002 | INA &gt;&gt; 531048310 | AUTEX &gt;&gt; 654073 | SAMKO &gt;&gt; AA10356</t>
  </si>
  <si>
    <t>for article number &gt;&gt; AA10357</t>
  </si>
  <si>
    <t>SCANIA &gt;&gt; 1510699 | SCANIA &gt;&gt; 185653 | SCANIA &gt;&gt; 1791073 | DAYCO &gt;&gt; APV2381 | MEYLE &gt;&gt; 8340000007 | SAMKO &gt;&gt; AA10357</t>
  </si>
  <si>
    <t>for article number &gt;&gt; AA10358</t>
  </si>
  <si>
    <t>SCANIA &gt;&gt; 1512181 | SCANIA &gt;&gt; 1774654 | SCANIA &gt;&gt; 1774650 | SCANIA &gt;&gt; 2197005 | SCANIA &gt;&gt; 1859657 | RUVILLE &gt;&gt; 58821 | GATES &gt;&gt; T38564 | DAYCO &gt;&gt; APV1120 | SKF &gt;&gt; VKMCV56010 | FEBI BILSTEIN &gt;&gt; 23293 | MEYLE &gt;&gt; 8340000004 | INA &gt;&gt; 531061730 | AUTEX &gt;&gt; 654112 | SAMKO &gt;&gt; AA10358</t>
  </si>
  <si>
    <t>for article number &gt;&gt; AA10359</t>
  </si>
  <si>
    <t>SCANIA &gt;&gt; 1510698 | SCANIA &gt;&gt; 1858884 | SCANIA &gt;&gt; 1795774 | RUVILLE &gt;&gt; 58876 | GATES &gt;&gt; T36517 | DAYCO &gt;&gt; APV1119 | SKF &gt;&gt; VKMCV56008 | FEBI BILSTEIN &gt;&gt; 23296 | MEYLE &gt;&gt; 8340000005 | INA &gt;&gt; 532045210 | AUTEX &gt;&gt; 654139 | SAMKO &gt;&gt; AA10359</t>
  </si>
  <si>
    <t>for article number &gt;&gt; AA10360</t>
  </si>
  <si>
    <t>SCANIA &gt;&gt; 1512749 | SCANIA &gt;&gt; 1858885 | SCANIA &gt;&gt; 1795775 | GATES &gt;&gt; T36518 | DAYCO &gt;&gt; APV1121 | SKF &gt;&gt; VKMCV56007 | FEBI BILSTEIN &gt;&gt; 23294 | MEYLE &gt;&gt; 8340000006 | INA &gt;&gt; 532045310 | AUTEX &gt;&gt; 654138 | SAMKO &gt;&gt; AA10360</t>
  </si>
  <si>
    <t>for article number &gt;&gt; AA10361</t>
  </si>
  <si>
    <t>TOYOTA &gt;&gt; 135400L010 | TOYOTA &gt;&gt; 1354067020 | RUVILLE &gt;&gt; 56969 | BOSCH &gt;&gt; 1987947489 | GATES &gt;&gt; T43226 | DAYCO &gt;&gt; ATB2532 | SKF &gt;&gt; VKM71809 | QUINTON HAZELL &gt;&gt; QTT1180 | FEBI BILSTEIN &gt;&gt; 32577 | OPTIMAL &gt;&gt; 0N1819 | JAPANPARTS &gt;&gt; BE253 | KAVO PARTS &gt;&gt; DTE9037 | SWAG &gt;&gt; 81932577 | INA &gt;&gt; 533010810 | ASHIKA &gt;&gt; 4502253 | NIPPARTS &gt;&gt; N1142074 | AUTEX &gt;&gt; 654650 | SAMKO &gt;&gt; AA10361 | ASHUKI &gt;&gt; T36005</t>
  </si>
  <si>
    <t>for article number &gt;&gt; AA10362</t>
  </si>
  <si>
    <t>TOYOTA &gt;&gt; 166200W093 | TOYOTA &gt;&gt; 1662022011 | TOYOTA &gt;&gt; 1662022012 | TOYOTA &gt;&gt; 1662022013 | TOYOTA &gt;&gt; 1662022010 | RUVILLE &gt;&gt; 56932 | GATES &gt;&gt; T38286 | DAYCO &gt;&gt; APV2260 | SKF &gt;&gt; VKM61014 | QUINTON HAZELL &gt;&gt; QTA1053 | FEBI BILSTEIN &gt;&gt; 27557 | TRISCAN &gt;&gt; 8641133002 | SNR &gt;&gt; GA36900 | OPTIMAL &gt;&gt; 0N1462S | JAPANPARTS &gt;&gt; TP201 | VAICO &gt;&gt; V700113 | KAVO PARTS &gt;&gt; DTP9001 | SWAG &gt;&gt; 81927557 | INA &gt;&gt; 534001610 | ASHIKA &gt;&gt; 14002201 | NIPPARTS &gt;&gt; J1142049 | AUTEX &gt;&gt; 641760 | SAMKO &gt;&gt; AA10362 | ASHUKI &gt;&gt; 03429402C</t>
  </si>
  <si>
    <t>for article number &gt;&gt; AA10363</t>
  </si>
  <si>
    <t>TOYOTA &gt;&gt; 166200W110 | TOYOTA &gt;&gt; 1662028011 | TOYOTA &gt;&gt; 1662028012 | TOYOTA &gt;&gt; 1662028070 | TOYOTA &gt;&gt; 1662028010 | TOYOTA &gt;&gt; 1662028090 | TOYOTA &gt;&gt; 1662028071 | RUVILLE &gt;&gt; 56931 | GATES &gt;&gt; T38216 | DAYCO &gt;&gt; APV2379 | SKF &gt;&gt; VKM61013 | QUINTON HAZELL &gt;&gt; QTA1058 | FEBI BILSTEIN &gt;&gt; 27556 | TRISCAN &gt;&gt; 8641133001 | SNR &gt;&gt; GA36903 | OPTIMAL &gt;&gt; 0N1810 | JAPANPARTS &gt;&gt; TS204 | KAVO PARTS &gt;&gt; DTP9002 | SWAG &gt;&gt; 81927556 | INA &gt;&gt; 533002310 | ASHIKA &gt;&gt; 12802204 | NIPPARTS &gt;&gt; J1142050 | AUTEX &gt;&gt; 601584 | SAMKO &gt;&gt; AA10363 | ASHUKI &gt;&gt; 03420502</t>
  </si>
  <si>
    <t>for article number &gt;&gt; AA10364</t>
  </si>
  <si>
    <t>VW &gt;&gt; 078109243Q | VW &gt;&gt; 078109243S | VW &gt;&gt; 078109243R | RUVILLE &gt;&gt; 55490 | BOSCH &gt;&gt; 1987949368 | GATES &gt;&gt; T41082 | DAYCO &gt;&gt; ATB2297 | SKF &gt;&gt; VKM11202 | QUINTON HAZELL &gt;&gt; QTT968 | METZGER &gt;&gt; WMATB2297 | FEBI BILSTEIN &gt;&gt; 18562 | SNR &gt;&gt; GT35741 | OPTIMAL &gt;&gt; 0N1238 | MEYLE &gt;&gt; 1001090041 | VAICO &gt;&gt; V100476 | HEPU &gt;&gt; 140088 | SWAG &gt;&gt; 30030075 | INA &gt;&gt; 531047720 | AUTEX &gt;&gt; 641093 | SAMKO &gt;&gt; AA10364 | ASHUKI &gt;&gt; 173418A | VEMA &gt;&gt; 65013963</t>
  </si>
  <si>
    <t>for article number &gt;&gt; AA10365</t>
  </si>
  <si>
    <t>AUDI &gt;&gt; 044145278A | AUDI &gt;&gt; 074145278F | VW &gt;&gt; 077903343 | RUVILLE &gt;&gt; 55435 | GATES &gt;&gt; T36000 | SKF &gt;&gt; VKM31043 | QUINTON HAZELL &gt;&gt; QTA1071 | PEX &gt;&gt; 203386 | FEBI BILSTEIN &gt;&gt; 04134 | TRISCAN &gt;&gt; 8641291002 | OPTIMAL &gt;&gt; 0N1312 | SWAG &gt;&gt; 30030042 | INA &gt;&gt; 531073310 | AUTEX &gt;&gt; 641077 | SAMKO &gt;&gt; AA10365</t>
  </si>
  <si>
    <t>for article number &gt;&gt; AA10366</t>
  </si>
  <si>
    <t>VW &gt;&gt; 06D109243B | RUVILLE &gt;&gt; 55772 | GATES &gt;&gt; T43142 | DAYCO &gt;&gt; ATB2330 | SKF &gt;&gt; VKM11222 | QUINTON HAZELL &gt;&gt; QTT1102 | METZGER &gt;&gt; WMATB2330 | FEBI BILSTEIN &gt;&gt; 27364 | SNR &gt;&gt; GT35766 | OPTIMAL &gt;&gt; 0N1345 | VAICO &gt;&gt; V102101 | AIRTEX &gt;&gt; TP0082 | HEPU &gt;&gt; 153212 | SWAG &gt;&gt; 30927364 | INA &gt;&gt; 531077710 | AUTEX &gt;&gt; 654217 | SAMKO &gt;&gt; AA10366 | ASHUKI &gt;&gt; 153627A</t>
  </si>
  <si>
    <t>for article number &gt;&gt; AA10367</t>
  </si>
  <si>
    <t>VW &gt;&gt; 032145276 | RUVILLE &gt;&gt; 55429 | GATES &gt;&gt; T36083 | DAYCO &gt;&gt; APV2177 | SKF &gt;&gt; VKM31207 | QUINTON HAZELL &gt;&gt; QTA1310 | PEX &gt;&gt; 203358 | FEBI BILSTEIN &gt;&gt; 21918 | SNR &gt;&gt; GA35713 | OPTIMAL &gt;&gt; 0N1310 | VAICO &gt;&gt; V102099 | SWAG &gt;&gt; 30921918 | INA &gt;&gt; 532032630 | AUTEX &gt;&gt; 651146 | SAMKO &gt;&gt; AA10367 | ASHUKI &gt;&gt; 118087A</t>
  </si>
  <si>
    <t>for article number &gt;&gt; AA10368</t>
  </si>
  <si>
    <t>VW &gt;&gt; 044903315C | RUVILLE &gt;&gt; 56300 | GATES &gt;&gt; T39195 | SKF &gt;&gt; VKM31005 | FEBI BILSTEIN &gt;&gt; 27814 | TRISCAN &gt;&gt; 8641293022 | SNR &gt;&gt; GA35728 | OPTIMAL &gt;&gt; 0N1891 | VAICO &gt;&gt; V102100 | SWAG &gt;&gt; 30927814 | INA &gt;&gt; 534017210 | SAMKO &gt;&gt; AA10368 | ASHUKI &gt;&gt; 158127A</t>
  </si>
  <si>
    <t>for article number &gt;&gt; AA10369</t>
  </si>
  <si>
    <t>VW &gt;&gt; 038145278 | VW &gt;&gt; 038903315P | VW &gt;&gt; 038903315D | RUVILLE &gt;&gt; 55480 | GATES &gt;&gt; T38306 | DAYCO &gt;&gt; APV2259 | SKF &gt;&gt; VKM31013 | QUINTON HAZELL &gt;&gt; QTA1098 | PEX &gt;&gt; 203345 | FEBI BILSTEIN &gt;&gt; 18660 | FEBI BILSTEIN &gt;&gt; 21710 | TRISCAN &gt;&gt; 8641293004 | SNR &gt;&gt; GA35412 | OPTIMAL &gt;&gt; 0N1441 | VAICO &gt;&gt; V101593 | HEPU &gt;&gt; 100050 | SWAG &gt;&gt; 30918660 | INA &gt;&gt; 534001410 | AUTEX &gt;&gt; 601055 | SAMKO &gt;&gt; AA10369 | ASHUKI &gt;&gt; 193318A</t>
  </si>
  <si>
    <t>for article number &gt;&gt; AA10370</t>
  </si>
  <si>
    <t>VW &gt;&gt; 076260938 | RUVILLE &gt;&gt; 56338 | GATES &gt;&gt; T36461 | FEBI BILSTEIN &gt;&gt; 36084 | TRISCAN &gt;&gt; 8641292022 | OPTIMAL &gt;&gt; 0N1915 | SWAG &gt;&gt; 30936084 | INA &gt;&gt; 532053510 | AUTEX &gt;&gt; 654534 | SAMKO &gt;&gt; AA10370</t>
  </si>
  <si>
    <t>for article number &gt;&gt; AA10371</t>
  </si>
  <si>
    <t>AUDI &gt;&gt; 058115136 | AUDI &gt;&gt; 058115136A | FEBI BILSTEIN &gt;&gt; 19740 | SWAG &gt;&gt; 32919740 | AUTEX &gt;&gt; 844006 | SAMKO &gt;&gt; AA10371 | CALIBER &gt;&gt; 30161</t>
  </si>
  <si>
    <t>for article number &gt;&gt; AA10372</t>
  </si>
  <si>
    <t>FORD &gt;&gt; 1106830 | FORD &gt;&gt; 1669984 | FORD &gt;&gt; 95VW6A228AB | FORD &gt;&gt; 95VW6A228EA | MERCEDES-BENZ &gt;&gt; 6382370016 | VW &gt;&gt; 021145299C | RUVILLE &gt;&gt; 55737 | GATES &gt;&gt; T38175 | DAYCO &gt;&gt; APV2309 | SKF &gt;&gt; VKM31060 | QUINTON HAZELL &gt;&gt; QTA1182 | FEBI BILSTEIN &gt;&gt; 22364 | TRISCAN &gt;&gt; 8641103007 | SNR &gt;&gt; GA35711 | OPTIMAL &gt;&gt; 0N1657 | MEYLE &gt;&gt; 1000200019 | VAICO &gt;&gt; V100551 | SWAG &gt;&gt; 32922364 | INA &gt;&gt; 534012630 | AUTEX &gt;&gt; 601469 | SAMKO &gt;&gt; AA10372 | ASHUKI &gt;&gt; 153677A</t>
  </si>
  <si>
    <t>for article number &gt;&gt; AA10373</t>
  </si>
  <si>
    <t>VOLVO &gt;&gt; 9207927 | VW &gt;&gt; 074130195B | RUVILLE &gt;&gt; 55447 | BOSCH &gt;&gt; 1987949824 | GATES &gt;&gt; T43048 | DAYCO &gt;&gt; ATB2316 | SKF &gt;&gt; VKM11073 | QUINTON HAZELL &gt;&gt; QTT866 | METZGER &gt;&gt; WMATB2316 | FEBI BILSTEIN &gt;&gt; 11561 | SNR &gt;&gt; GT35732 | OPTIMAL &gt;&gt; 0N110 | MEYLE &gt;&gt; 1001300003 | VAICO &gt;&gt; V950205 | HEPU &gt;&gt; 140084 | SWAG &gt;&gt; 30030058 | INA &gt;&gt; 531027630 | AUTEX &gt;&gt; 641089 | SAMKO &gt;&gt; AA10373 | ASHUKI &gt;&gt; 183488A | VEMA &gt;&gt; 65013689</t>
  </si>
  <si>
    <t>for article number &gt;&gt; AA10374</t>
  </si>
  <si>
    <t>VOLVO &gt;&gt; 20503093 | VOLVO &gt;&gt; 21574656 | VOLVO &gt;&gt; 20747516 | RUVILLE &gt;&gt; 58872 | DAYCO &gt;&gt; APV2387 | DAYCO &gt;&gt; APV1111 | SKF &gt;&gt; VKMCV53008 | FEBI BILSTEIN &gt;&gt; 23327 | MEYLE &gt;&gt; 5340000008 | MEYLE &gt;&gt; 5340000002 | INA &gt;&gt; 532045510 | AUTEX &gt;&gt; 654135 | SAMKO &gt;&gt; AA10374</t>
  </si>
  <si>
    <t>for article number &gt;&gt; AA10375</t>
  </si>
  <si>
    <t>VOLVO &gt;&gt; 20515543 | VOLVO &gt;&gt; 20924200 | VOLVO &gt;&gt; 20700787 | VOLVO &gt;&gt; 21549016 | SPIDAN &gt;&gt; 69875 | RUVILLE &gt;&gt; 58875 | DAYCO &gt;&gt; APV1116 | SKF &gt;&gt; VKMCV53015 | FEBI BILSTEIN &gt;&gt; 23326 | INA &gt;&gt; 534006110 | AUTEX &gt;&gt; 654178 | SAMKO &gt;&gt; AA10375</t>
  </si>
  <si>
    <t>for article number &gt;&gt; AA10376</t>
  </si>
  <si>
    <t>RENAULT &gt;&gt; 7420487079 | VOLVO &gt;&gt; 21260406 | VOLVO &gt;&gt; 21479276 | VOLVO &gt;&gt; 20487079 | RENAULT TRUCKS &gt;&gt; 7420487079 | RUVILLE &gt;&gt; 58895 | DAYCO &gt;&gt; APV2739 | SKF &gt;&gt; VKMCV53006 | FEBI BILSTEIN &gt;&gt; 35534 | FEBI BILSTEIN &gt;&gt; 27116 | MEYLE &gt;&gt; 16340000002 | INA &gt;&gt; 534025810 | AUTEX &gt;&gt; 654414 | SAMKO &gt;&gt; AA10376</t>
  </si>
  <si>
    <t>for article number &gt;&gt; AA10377</t>
  </si>
  <si>
    <t>RENAULT &gt;&gt; 7420739751 | RENAULT &gt;&gt; 7420935521 | VOLVO &gt;&gt; 20935521 | VOLVO &gt;&gt; 3979979 | VOLVO &gt;&gt; 20739751 | VOLVO &gt;&gt; 21422765 | RENAULT TRUCKS &gt;&gt; 7420935521 | RENAULT TRUCKS &gt;&gt; 7420739751 | SPIDAN &gt;&gt; 69894 | RUVILLE &gt;&gt; 58894 | GATES &gt;&gt; T38607 | DAYCO &gt;&gt; APV1151 | SKF &gt;&gt; VKMCV53001 | FEBI BILSTEIN &gt;&gt; 18789 | FEBI BILSTEIN &gt;&gt; 27117 | MEYLE &gt;&gt; 5340000006 | INA &gt;&gt; 531048510 | AUTEX &gt;&gt; 654415 | SAMKO &gt;&gt; AA10377</t>
  </si>
  <si>
    <t>for article number &gt;&gt; AA10378</t>
  </si>
  <si>
    <t>VOLVO &gt;&gt; 20935523 | VOLVO &gt;&gt; 21404578 | VOLVO &gt;&gt; 20966526 | VOLVO &gt;&gt; 21422767 | VOLVO &gt;&gt; 8149855 | GATES &gt;&gt; T38585 | DAYCO &gt;&gt; APV2400 | SKF &gt;&gt; VKMCV53005 | FEBI BILSTEIN &gt;&gt; 30648 | MEYLE &gt;&gt; 5340000009 | INA &gt;&gt; 531061820 | SAMKO &gt;&gt; AA10378</t>
  </si>
  <si>
    <t>for article number &gt;&gt; AA10379</t>
  </si>
  <si>
    <t>RENAULT &gt;&gt; 7421257889 | VOLVO &gt;&gt; 21257889 | VOLVO &gt;&gt; 3979980 | RENAULT TRUCKS &gt;&gt; 7421257889 | RUVILLE &gt;&gt; 58822 | GATES &gt;&gt; T38547 | DAYCO &gt;&gt; APV1067 | SKF &gt;&gt; VKMCV53002 | MEYLE &gt;&gt; 5340000001 | SAMKO &gt;&gt; AA10379</t>
  </si>
  <si>
    <t>for article number &gt;&gt; AA10380</t>
  </si>
  <si>
    <t>VOLVO &gt;&gt; 20491753 | VOLVO &gt;&gt; 21155561 | VOLVO &gt;&gt; 21145261 | RUVILLE &gt;&gt; 58874 | GATES &gt;&gt; T38581 | DAYCO &gt;&gt; APV1115 | SKF &gt;&gt; VKMCV53007 | FEBI BILSTEIN &gt;&gt; 23329 | MEYLE &gt;&gt; 5340000004 | INA &gt;&gt; 534009020 | SAMKO &gt;&gt; AA10380</t>
  </si>
  <si>
    <t>for article number &gt;&gt; AA10381</t>
  </si>
  <si>
    <t>RENAULT &gt;&gt; 7420521447 | RENAULT &gt;&gt; 7421153968 | VOLVO &gt;&gt; 21393207 | VOLVO &gt;&gt; 20521447 | VOLVO &gt;&gt; 21153968 | VOLVO &gt;&gt; 21766717 | RENAULT TRUCKS &gt;&gt; 7421153968 | RENAULT TRUCKS &gt;&gt; 7420521447 | DAYCO &gt;&gt; APV2384 | SKF &gt;&gt; VKMCV53010 | FEBI BILSTEIN &gt;&gt; 30646 | MEYLE &gt;&gt; 5340000007 | AUTEX &gt;&gt; 654625 | SAMKO &gt;&gt; AA10381</t>
  </si>
  <si>
    <t>for article number &gt;&gt; AA10382</t>
  </si>
  <si>
    <t>VOLVO &gt;&gt; 1664973 | VOLVO &gt;&gt; 3154315 | VOLVO &gt;&gt; 8149798 | RUVILLE &gt;&gt; 58823 | GATES &gt;&gt; T38565 | DAYCO &gt;&gt; APV2450 | SKF &gt;&gt; VKMCV53003 | FEBI BILSTEIN &gt;&gt; 22807 | SWAG &gt;&gt; 99922807 | INA &gt;&gt; 531061930 | SAMKO &gt;&gt; AA10382</t>
  </si>
  <si>
    <t>Brake Disc</t>
  </si>
  <si>
    <t>Centering Diameter [mm] &gt;&gt; 88 | Number of Holes &gt;&gt; 6 | Minimum Thickness [mm] &gt;&gt; 24 | Brake Disc Thickness [mm] &gt;&gt; 26 | Brake Disc Type &gt;&gt; Internally Vented | Diameter [mm] &gt;&gt; 256 | for article number &gt;&gt; B1001V | Height [mm] &gt;&gt; 40</t>
  </si>
  <si>
    <t>ISUZU &gt;&gt; 8973088680 | BREMBO &gt;&gt; 09A30510 | ROADHOUSE &gt;&gt; 6116310 | REMSA &gt;&gt; 6116310 | JAPANPARTS &gt;&gt; DI920 | TRUSTING &gt;&gt; DF1021 | BRECO &gt;&gt; BS8685 | BRECO &gt;&gt; 09A30510 | fri.tech. &gt;&gt; DF1021 | SAMKO &gt;&gt; B1001V</t>
  </si>
  <si>
    <t>Minimum Thickness [mm] &gt;&gt; 25,6 | for article number &gt;&gt; B1002V | Centering Diameter [mm] &gt;&gt; 88 | Number of Holes &gt;&gt; 6 | Brake Disc Type &gt;&gt; Internally Vented | Diameter [mm] &gt;&gt; 280 | Height [mm] &gt;&gt; 40 | Brake Disc Thickness [mm] &gt;&gt; 27</t>
  </si>
  <si>
    <t>ISUZU &gt;&gt; 8973606770 | ISUZU &gt;&gt; 8973606780 | ISUZU &gt;&gt; 8980062590 | PAGID &gt;&gt; 54748 | TEXTAR &gt;&gt; 92174803 | BREMBO &gt;&gt; 09B26710 | MINTEX &gt;&gt; MDC2078 | ROADHOUSE &gt;&gt; 6119310 | REMSA &gt;&gt; 6119310 | JAPANPARTS &gt;&gt; DI921 | A.B.S. &gt;&gt; 17913 | TRUSTING &gt;&gt; DF1167 | BRECO &gt;&gt; BS8942 | BRECO &gt;&gt; 09B26710 | ASHIKA &gt;&gt; 6009921 | CAR &gt;&gt; 1421125 | SAMKO &gt;&gt; B1002V</t>
  </si>
  <si>
    <t>Brake Disc Thickness [mm] &gt;&gt; 12 | for article number &gt;&gt; B1041P | Centering Diameter [mm] &gt;&gt; 96 | Minimum Thickness [mm] &gt;&gt; 10,6 | Brake Disc Type &gt;&gt; Solid | Height [mm] &gt;&gt; 48 | Diameter [mm] &gt;&gt; 266 | Number of Holes &gt;&gt; 6</t>
  </si>
  <si>
    <t>ISUZU &gt;&gt; 8941732440 | ISUZU &gt;&gt; 94173244 | ISUZU &gt;&gt; 8941732442 | ATE &gt;&gt; 24011201451 | JURID &gt;&gt; 561761J | BENDIX &gt;&gt; 561761B | QUINTON HAZELL &gt;&gt; BDC3956 | FERODO &gt;&gt; DDF786 | BREMBO &gt;&gt; 08686510 | DELPHI &gt;&gt; BG2755 | JAPANPARTS &gt;&gt; DP900 | BRADI &gt;&gt; 1040854 | BRECO &gt;&gt; 08686510 | BRECO &gt;&gt; BS7518 | INTERBRAKE &gt;&gt; BI041P | CAR &gt;&gt; 142522 | Brake ENGINEERING &gt;&gt; DI951153 | APEC braking &gt;&gt; DSK731 | sbs &gt;&gt; 1815201403 | SAMKO &gt;&gt; B1041P | URPA &gt;&gt; 101502</t>
  </si>
  <si>
    <t>for article number &gt;&gt; B1051V | Centering Diameter [mm] &gt;&gt; 80 | Minimum Thickness [mm] &gt;&gt; 16,6 | Number of Holes &gt;&gt; 6 | Brake Disc Type &gt;&gt; Internally Vented | Diameter [mm] &gt;&gt; 251 | Height [mm] &gt;&gt; 34 | Brake Disc Thickness [mm] &gt;&gt; 18</t>
  </si>
  <si>
    <t>ISUZU &gt;&gt; 8941136280 | ISUZU &gt;&gt; 94113629 | ISUZU &gt;&gt; 94232375 | ISUZU &gt;&gt; 94242571 | ISUZU &gt;&gt; 9411362910 | ISUZU &gt;&gt; 94126504 | ISUZU &gt;&gt; 8941136281 | ISUZU &gt;&gt; 8941136291 | ISUZU &gt;&gt; 94113628 | ISUZU &gt;&gt; 8942425711 | VAUXHALL &gt;&gt; 94232375 | VAUXHALL &gt;&gt; 94126504 | ATE &gt;&gt; 24011801231 | BOSCH &gt;&gt; 0986478658 | TEXTAR &gt;&gt; 92095700 | JURID &gt;&gt; 561693J | JURID &gt;&gt; 561531J | BENDIX &gt;&gt; 561693B | BENDIX &gt;&gt; 561531B | QUINTON HAZELL &gt;&gt; BDC3739 | FERODO &gt;&gt; DDF356 | BREMBO &gt;&gt; 09570510 | BREMBO &gt;&gt; 09549910 | MINTEX &gt;&gt; MDC620 | DELPHI &gt;&gt; BG2489 | ROADHOUSE &gt;&gt; 643410 | REMSA &gt;&gt; 643410 | JAPANPARTS &gt;&gt; DI903 | TRW &gt;&gt; DF3047 | BRADI &gt;&gt; 1040224 | BRECO &gt;&gt; 09570510 | BRECO &gt;&gt; 09549910 | BRECO &gt;&gt; BS8036 | INTERBRAKE &gt;&gt; BI051V | CAR &gt;&gt; 142535 | Brake ENGINEERING &gt;&gt; DI952330 | PILENGA &gt;&gt; V700 | sbs &gt;&gt; 1815201401 | SAMKO &gt;&gt; B1051V | URPA &gt;&gt; 101448 | URPA &gt;&gt; 101413</t>
  </si>
  <si>
    <t>Brake Disc Thickness [mm] &gt;&gt; 25 | for article number &gt;&gt; B2002V | Centering Diameter [mm] &gt;&gt; 75 | Minimum Thickness [mm] &gt;&gt; 23,4 | Brake Disc Type &gt;&gt; Internally Vented | Height [mm] &gt;&gt; 62 | Diameter [mm] &gt;&gt; 325 | Number of Holes &gt;&gt; 5</t>
  </si>
  <si>
    <t>BMW &gt;&gt; 34113400151 | VALEO &gt;&gt; 197083 | TEXTAR &gt;&gt; 92141500 | JURID &gt;&gt; 562350J | BENDIX &gt;&gt; 562350B | FERODO &gt;&gt; DDF1271 | BREMBO &gt;&gt; 09958114 | MINTEX &gt;&gt; MDC1719 | DELPHI &gt;&gt; BG3938 | METELLI &gt;&gt; 230752 | ROADHOUSE &gt;&gt; 697810 | REMSA &gt;&gt; 697810 | GRAF &gt;&gt; DF29752 | BRECO &gt;&gt; 09958114 | INTERBRAKE &gt;&gt; BW711V | CAR &gt;&gt; 1421055 | PILENGA &gt;&gt; V809 | sbs &gt;&gt; 1815201564 | CIFAM &gt;&gt; 800752 | SAMKO &gt;&gt; B2002V</t>
  </si>
  <si>
    <t>Brake Disc Thickness [mm] &gt;&gt; 25 | for article number &gt;&gt; B2002VR | Centering Diameter [mm] &gt;&gt; 75 | Surface &gt;&gt; Coated | Brake Disc Type &gt;&gt; Internally Vented | Height [mm] &gt;&gt; 62 | Diameter [mm] &gt;&gt; 325 | Minimum Thickness [mm] &gt;&gt; 23,4 | Number of Holes &gt;&gt; 5</t>
  </si>
  <si>
    <t>BMW &gt;&gt; 34113400151 | ATE &gt;&gt; 24012501601 | PAGID &gt;&gt; 54415PRO | BOSCH &gt;&gt; 0986479348 | TEXTAR &gt;&gt; 92141503 | BENDIX &gt;&gt; 562350BC | BREMBO &gt;&gt; 09958111 | METELLI &gt;&gt; 230752C | TRW &gt;&gt; DF4392S | BRECO &gt;&gt; 09958111 | sbs &gt;&gt; 1815311564 | CIFAM &gt;&gt; 800752C | SAMKO &gt;&gt; B2002VR</t>
  </si>
  <si>
    <t>Brake Disc Type &gt;&gt; Solid | for article number &gt;&gt; B2003P | Centering Diameter [mm] &gt;&gt; 75 | Number of Holes &gt;&gt; 5 | Brake Disc Thickness [mm] &gt;&gt; 10 | Height [mm] &gt;&gt; 65,5 | Diameter [mm] &gt;&gt; 280 | Minimum Thickness [mm] &gt;&gt; 8,4</t>
  </si>
  <si>
    <t>BMW &gt;&gt; 34216764647 | BMW &gt;&gt; 34216855001 | JURID &gt;&gt; 562259J | BENDIX &gt;&gt; 562259B | QUINTON HAZELL &gt;&gt; BDC5434 | FERODO &gt;&gt; DDF1303 | BREMBO &gt;&gt; 08978710 | MINTEX &gt;&gt; MDC1731 | DELPHI &gt;&gt; BG3948 | ROADHOUSE &gt;&gt; 6101300 | REMSA &gt;&gt; 6101300 | BRECO &gt;&gt; BS7669 | BRECO &gt;&gt; 08978710 | INTERBRAKE &gt;&gt; BW811P | CAR &gt;&gt; 1421072 | Brake ENGINEERING &gt;&gt; DI956485 | APEC braking &gt;&gt; DSK2298 | sbs &gt;&gt; 1815201557 | SAMKO &gt;&gt; B2003P</t>
  </si>
  <si>
    <t>Minimum Thickness [mm] &gt;&gt; 8,4 | for article number &gt;&gt; B2003PR | Surface &gt;&gt; Coated | Number of Holes &gt;&gt; 5 | Brake Disc Type &gt;&gt; Solid | Height [mm] &gt;&gt; 65,5 | Diameter [mm] &gt;&gt; 280 | Centering Diameter [mm] &gt;&gt; 75 | Brake Disc Thickness [mm] &gt;&gt; 10</t>
  </si>
  <si>
    <t>BMW &gt;&gt; 34216764647 | BMW &gt;&gt; 34216855001 | ATE &gt;&gt; 24011003141 | PAGID &gt;&gt; 54329 | BOSCH &gt;&gt; 0986479217 | TEXTAR &gt;&gt; 92132903 | BENDIX &gt;&gt; 562259BC | BREMBO &gt;&gt; 08978711 | ZIMMERMANN &gt;&gt; 150342520 | METELLI &gt;&gt; 230817C | TRW &gt;&gt; DF4448 | BRECO &gt;&gt; BV7669 | BRECO &gt;&gt; 08978711 | sbs &gt;&gt; 1815311557 | CIFAM &gt;&gt; 800817C | SAMKO &gt;&gt; B2003PR</t>
  </si>
  <si>
    <t>Brake Disc Type &gt;&gt; Solid | for article number &gt;&gt; B2004P | Centering Diameter [mm] &gt;&gt; 75 | Number of Holes &gt;&gt; 5 | Brake Disc Thickness [mm] &gt;&gt; 10 | Height [mm] &gt;&gt; 65,5 | Diameter [mm] &gt;&gt; 296 | Minimum Thickness [mm] &gt;&gt; 8,4</t>
  </si>
  <si>
    <t>BMW &gt;&gt; 34216769271 | BMW &gt;&gt; 34214031725 | BMW &gt;&gt; 34216764649 | BMW &gt;&gt; 34216855002 | ATE &gt;&gt; 24011003151 | PAGID &gt;&gt; 54331PRO | BOSCH &gt;&gt; 0986479306 | TEXTAR &gt;&gt; 92133100 | FERODO &gt;&gt; DDF1230 | MINTEX &gt;&gt; MDC1746 | ZIMMERMANN &gt;&gt; 150342900 | DELPHI &gt;&gt; BG3960 | ROADHOUSE &gt;&gt; 6108400 | REMSA &gt;&gt; 6108400 | TRW &gt;&gt; DF4451 | INTERBRAKE &gt;&gt; BW813P | CAR &gt;&gt; 1421074 | sbs &gt;&gt; 1815201556 | SAMKO &gt;&gt; B2004P</t>
  </si>
  <si>
    <t>Minimum Thickness [mm] &gt;&gt; 28,4 | Centering Diameter [mm] &gt;&gt; 79 | for article number &gt;&gt; B2005V | Number of Holes &gt;&gt; 5 | Brake Disc Type &gt;&gt; Internally Vented | Diameter [mm] &gt;&gt; 324 | Height [mm] &gt;&gt; 81 | Brake Disc Thickness [mm] &gt;&gt; 30</t>
  </si>
  <si>
    <t>BMW &gt;&gt; 34116750265 | ATE &gt;&gt; 24013001171 | PAGID &gt;&gt; 54228PRO | BOSCH &gt;&gt; 0986479002 | TEXTAR &gt;&gt; 92122800 | JURID &gt;&gt; 562272J | BENDIX &gt;&gt; 562272B | FERODO &gt;&gt; DDF1243 | MINTEX &gt;&gt; MDC1795 | ZIMMERMANN &gt;&gt; 150340700 | DELPHI &gt;&gt; BG9786 | ROADHOUSE &gt;&gt; 686710 | REMSA &gt;&gt; 686710 | TRW &gt;&gt; DF4390 | INTERBRAKE &gt;&gt; BW671V | CAR &gt;&gt; 142068 | PILENGA &gt;&gt; V807 | sbs &gt;&gt; 1815201559 | SAMKO &gt;&gt; B2005V</t>
  </si>
  <si>
    <t>for article number &gt;&gt; B2006V | Height [mm] &gt;&gt; 81 | Brake Disc Type &gt;&gt; Internally Vented | Brake Disc Thickness [mm] &gt;&gt; 36 | Minimum Thickness [mm] &gt;&gt; 34,4 | Number of Holes &gt;&gt; 5 | Centering Diameter [mm] &gt;&gt; 79 | Diameter [mm] &gt;&gt; 374</t>
  </si>
  <si>
    <t>BMW &gt;&gt; 34116753091 | BMW &gt;&gt; 34116766107 | ATE &gt;&gt; 24013601011 | PAGID &gt;&gt; 54230PRO | TEXTAR &gt;&gt; 92123000 | FERODO &gt;&gt; DDF1246 | MINTEX &gt;&gt; MDC1661 | ZIMMERMANN &gt;&gt; 150340900 | DELPHI &gt;&gt; BG9915 | INTERBRAKE &gt;&gt; BW771V | CAR &gt;&gt; 1421068 | PILENGA &gt;&gt; V104 | SAMKO &gt;&gt; B2006V</t>
  </si>
  <si>
    <t>Centering Diameter [mm] &gt;&gt; 75 | Number of Holes &gt;&gt; 5 | Minimum Thickness [mm] &gt;&gt; 20,4 | Brake Disc Thickness [mm] &gt;&gt; 22 | Brake Disc Type &gt;&gt; Internally Vented | Diameter [mm] &gt;&gt; 320 | for article number &gt;&gt; B2007V | Height [mm] &gt;&gt; 60,5</t>
  </si>
  <si>
    <t>BMW &gt;&gt; 34201166073 | BMW &gt;&gt; 34216855157 | BMW &gt;&gt; 34201168073 | ATE &gt;&gt; 24012202091 | PAGID &gt;&gt; 50319PRO | VALEO &gt;&gt; 186883 | BOSCH &gt;&gt; 0986478975 | TEXTAR &gt;&gt; 92107000 | FTE &gt;&gt; BS5227 | QUINTON HAZELL &gt;&gt; BDC5227 | FERODO &gt;&gt; DDF1280 | BREMBO &gt;&gt; 09959010 | MINTEX &gt;&gt; MDC1404 | ZIMMERMANN &gt;&gt; 150129500 | DELPHI &gt;&gt; BG3831 | METELLI &gt;&gt; 230519 | ROADHOUSE &gt;&gt; 664510 | REMSA &gt;&gt; 664510 | GRAF &gt;&gt; DF29519 | TRW &gt;&gt; DF4212 | BRECO &gt;&gt; 09959010 | INTERBRAKE &gt;&gt; BW601V | CAR &gt;&gt; 142076 | APEC braking &gt;&gt; DSK2080 | PILENGA &gt;&gt; V814 | sbs &gt;&gt; 1815201545 | CIFAM &gt;&gt; 800519 | SAMKO &gt;&gt; B2007V</t>
  </si>
  <si>
    <t>Minimum Thickness [mm] &gt;&gt; 20,4 | Centering Diameter [mm] &gt;&gt; 64,1 | for article number &gt;&gt; B2008V | Number of Holes &gt;&gt; 4 | Brake Disc Type &gt;&gt; Internally Vented | Diameter [mm] &gt;&gt; 276 | Height [mm] &gt;&gt; 44 | Brake Disc Thickness [mm] &gt;&gt; 22</t>
  </si>
  <si>
    <t>MINI &gt;&gt; 34111502891 | MINI &gt;&gt; 34116774984 | VALEO &gt;&gt; 186762 | BOSCH &gt;&gt; 0986478606 | TEXTAR &gt;&gt; 92107500 | JURID &gt;&gt; 562139J | BENDIX &gt;&gt; 562139B | QUINTON HAZELL &gt;&gt; BDC5312 | FERODO &gt;&gt; DDF1127 | BREMBO &gt;&gt; 09865510 | MINTEX &gt;&gt; MDC1129 | DELPHI &gt;&gt; BG3661 | ROADHOUSE &gt;&gt; 662410 | REMSA &gt;&gt; 662410 | GRAF &gt;&gt; DF29666 | KWP &gt;&gt; 129666 | BRECO &gt;&gt; 09865510 | BRECO &gt;&gt; BS8403 | INTERBRAKE &gt;&gt; BW551V | CAR &gt;&gt; 142084 | Brake ENGINEERING &gt;&gt; DI956134 | APEC braking &gt;&gt; DSK2060 | PILENGA &gt;&gt; V811 | sbs &gt;&gt; 1815204016 | SAMKO &gt;&gt; B2008V | OPEN PARTS &gt;&gt; BDA190220</t>
  </si>
  <si>
    <t>Brake Disc Thickness [mm] &gt;&gt; 22 | Surface &gt;&gt; Coated | for article number &gt;&gt; B2008VR | Centering Diameter [mm] &gt;&gt; 64,1 | Minimum Thickness [mm] &gt;&gt; 20,4 | Brake Disc Type &gt;&gt; Internally Vented | Height [mm] &gt;&gt; 44 | Diameter [mm] &gt;&gt; 276 | Number of Holes &gt;&gt; 4</t>
  </si>
  <si>
    <t>MINI &gt;&gt; 34116774984 | MINI &gt;&gt; 34111502891 | ATE &gt;&gt; 24012202041 | PAGID &gt;&gt; 50324 | TEXTAR &gt;&gt; 92107503 | BENDIX &gt;&gt; 562139BC | BREMBO &gt;&gt; 09865511 | ZIMMERMANN &gt;&gt; 150340020 | METELLI &gt;&gt; 230666C | TRW &gt;&gt; DF4197 | BRECO &gt;&gt; BV8403 | BRECO &gt;&gt; 09865511 | sbs &gt;&gt; 1815314016 | CIFAM &gt;&gt; 800666C | SAMKO &gt;&gt; B2008VR</t>
  </si>
  <si>
    <t>Brake Disc Thickness [mm] &gt;&gt; 10 | Centering Diameter [mm] &gt;&gt; 64,1 | for article number &gt;&gt; B2009P | Minimum Thickness [mm] &gt;&gt; 8,4 | Height [mm] &gt;&gt; 44 | Diameter [mm] &gt;&gt; 259 | Number of Holes &gt;&gt; 4 | Brake Disc Type &gt;&gt; Solid</t>
  </si>
  <si>
    <t>MINI &gt;&gt; 34211503070 | MINI &gt;&gt; SDB101150 | MINI &gt;&gt; 34216774987 | VALEO &gt;&gt; 186812 | TEXTAR &gt;&gt; 92107600 | JURID &gt;&gt; 562194J | BENDIX &gt;&gt; 562194B | QUINTON HAZELL &gt;&gt; BDC5313 | FERODO &gt;&gt; DDF1128 | BREMBO &gt;&gt; 08916310 | MINTEX &gt;&gt; MDC1499 | DELPHI &gt;&gt; BG3662 | ROADHOUSE &gt;&gt; 662900 | REMSA &gt;&gt; 662900 | GRAF &gt;&gt; DF29667 | BRECO &gt;&gt; 08916310 | BRECO &gt;&gt; BS7622 | INTERBRAKE &gt;&gt; BW561P | CAR &gt;&gt; 142085 | Brake ENGINEERING &gt;&gt; DI956135 | APEC braking &gt;&gt; DSK2063 | PILENGA &gt;&gt; 5132 | sbs &gt;&gt; 1815204017 | SAMKO &gt;&gt; B2009P</t>
  </si>
  <si>
    <t>Brake Disc Thickness [mm] &gt;&gt; 10 | Surface &gt;&gt; Coated | for article number &gt;&gt; B2009PR | Centering Diameter [mm] &gt;&gt; 64,1 | Minimum Thickness [mm] &gt;&gt; 8,4 | Brake Disc Type &gt;&gt; Solid | Height [mm] &gt;&gt; 44 | Diameter [mm] &gt;&gt; 259 | Number of Holes &gt;&gt; 4</t>
  </si>
  <si>
    <t>MINI &gt;&gt; 34211503070 | MINI &gt;&gt; 34216774987 | MINI &gt;&gt; SDB101150 | ATE &gt;&gt; 24011002711 | PAGID &gt;&gt; 50325 | PAGID &gt;&gt; 54750PRO | BOSCH &gt;&gt; 0986478601 | TEXTAR &gt;&gt; 92107603 | BENDIX &gt;&gt; 562194BC | BREMBO &gt;&gt; 08916311 | ZIMMERMANN &gt;&gt; 150344620 | METELLI &gt;&gt; 230667C | TRW &gt;&gt; DF4198 | BRECO &gt;&gt; 08916311 | BRECO &gt;&gt; BV7622 | sbs &gt;&gt; 1815314017 | CIFAM &gt;&gt; 800667C | SAMKO &gt;&gt; B2009PR</t>
  </si>
  <si>
    <t>Height [mm] &gt;&gt; 77,1 | Centering Diameter [mm] &gt;&gt; 79 | for article number &gt;&gt; B2010V | Number of Holes &gt;&gt; 5 | Brake Disc Type &gt;&gt; Internally Vented | Diameter [mm] &gt;&gt; 310 | Brake Disc Thickness [mm] &gt;&gt; 24 | Minimum Thickness [mm] &gt;&gt; 22,4</t>
  </si>
  <si>
    <t>BMW &gt;&gt; 34116756745 | BMW &gt;&gt; 34116764021 | PAGID &gt;&gt; 54225PRO | VALEO &gt;&gt; 186732 | BOSCH &gt;&gt; 0986479055 | TEXTAR &gt;&gt; 92122500 | FTE &gt;&gt; BS5457 | QUINTON HAZELL &gt;&gt; BDC5457 | FERODO &gt;&gt; DDF1241 | BREMBO &gt;&gt; 09917310 | BREMBO &gt;&gt; 09917314 | MINTEX &gt;&gt; MDC1658 | DELPHI &gt;&gt; BG3870 | METELLI &gt;&gt; 230809 | ROADHOUSE &gt;&gt; 665310 | REMSA &gt;&gt; 665310 | GRAF &gt;&gt; DF29809 | TRW &gt;&gt; DF4359 | BRECO &gt;&gt; 09917310 | BRECO &gt;&gt; 09917314 | INTERBRAKE &gt;&gt; BW751V | CAR &gt;&gt; 1421066 | Brake ENGINEERING &gt;&gt; DI956260 | APEC braking &gt;&gt; DSK2256 | PILENGA &gt;&gt; V819 | sbs &gt;&gt; 1815201553 | CIFAM &gt;&gt; 800809 | SAMKO &gt;&gt; B2010V</t>
  </si>
  <si>
    <t>for article number &gt;&gt; B2012V | Diameter [mm] &gt;&gt; 292 | Height [mm] &gt;&gt; 73 | Brake Disc Type &gt;&gt; Internally Vented | Brake Disc Thickness [mm] &gt;&gt; 22 | Minimum Thickness [mm] &gt;&gt; 20,4 | Number of Holes &gt;&gt; 5 | Centering Diameter [mm] &gt;&gt; 79</t>
  </si>
  <si>
    <t>BMW &gt;&gt; 34116764641 | BMW &gt;&gt; 34116854997 | PAGID &gt;&gt; 54328PRO | VALEO &gt;&gt; 186817 | BOSCH &gt;&gt; 0986479214 | TEXTAR &gt;&gt; 92132800 | FTE &gt;&gt; BS5435 | QUINTON HAZELL &gt;&gt; BDC5435 | FERODO &gt;&gt; DDF1229 | BREMBO &gt;&gt; 09975210 | BREMBO &gt;&gt; 09975214 | MINTEX &gt;&gt; MDC1646 | DELPHI &gt;&gt; BG3900 | METELLI &gt;&gt; 230811 | ROADHOUSE &gt;&gt; 665210 | REMSA &gt;&gt; 665210 | GRAF &gt;&gt; DF29811 | TRW &gt;&gt; DF4449 | BRECO &gt;&gt; 09975210 | BRECO &gt;&gt; 09975214 | INTERBRAKE &gt;&gt; BW791V | CAR &gt;&gt; 1421070 | Brake ENGINEERING &gt;&gt; DI956484 | APEC braking &gt;&gt; DSK2303 | PILENGA &gt;&gt; V109 | sbs &gt;&gt; 1815201555 | CIFAM &gt;&gt; 800811 | SAMKO &gt;&gt; B2012V</t>
  </si>
  <si>
    <t>Centering Diameter [mm] &gt;&gt; 79 | Number of Holes &gt;&gt; 5 | Minimum Thickness [mm] &gt;&gt; 20,4 | Brake Disc Thickness [mm] &gt;&gt; 22 | Brake Disc Type &gt;&gt; Internally Vented | Diameter [mm] &gt;&gt; 284 | for article number &gt;&gt; B2013V | Height [mm] &gt;&gt; 73</t>
  </si>
  <si>
    <t>BMW &gt;&gt; 34116764629 | BMW &gt;&gt; 34116792215 | BMW &gt;&gt; 34116854996 | VALEO &gt;&gt; 186816 | JURID &gt;&gt; 562313J | BENDIX &gt;&gt; 562313B | FTE &gt;&gt; BS5433 | QUINTON HAZELL &gt;&gt; BDC5433 | FERODO &gt;&gt; DDF1228 | BREMBO &gt;&gt; 09975011 | MINTEX &gt;&gt; MDC1645 | DELPHI &gt;&gt; BG3899 | METELLI &gt;&gt; 230810 | ROADHOUSE &gt;&gt; 665110 | REMSA &gt;&gt; 665110 | GRAF &gt;&gt; DF29810 | BRECO &gt;&gt; BS8564 | BRECO &gt;&gt; 09975011 | INTERBRAKE &gt;&gt; BW801V | CAR &gt;&gt; 1421071 | Brake ENGINEERING &gt;&gt; DI956459 | APEC braking &gt;&gt; DSK2246 | PILENGA &gt;&gt; V800 | sbs &gt;&gt; 1815201554 | sbs &gt;&gt; 18152015100 | CIFAM &gt;&gt; 800810 | SAMKO &gt;&gt; B2013V</t>
  </si>
  <si>
    <t>Number of Holes &gt;&gt; 5 | Surface &gt;&gt; Coated | for article number &gt;&gt; B2013VR | Centering Diameter [mm] &gt;&gt; 79 | Brake Disc Thickness [mm] &gt;&gt; 22 | Brake Disc Type &gt;&gt; Internally Vented | Diameter [mm] &gt;&gt; 284 | Minimum Thickness [mm] &gt;&gt; 20,4 | Height [mm] &gt;&gt; 73</t>
  </si>
  <si>
    <t>BMW &gt;&gt; 34116854996 | BMW &gt;&gt; 34116764629 | BMW &gt;&gt; 34116792215 | ATE &gt;&gt; 24012202391 | PAGID &gt;&gt; 55384PRO | PAGID &gt;&gt; 54327 | BOSCH &gt;&gt; 0986479213 | TEXTAR &gt;&gt; 92132703 | BENDIX &gt;&gt; 562313BC | BREMBO &gt;&gt; 09975014 | TRW &gt;&gt; DF4447 | BRECO &gt;&gt; BV8564 | BRECO &gt;&gt; 09975014 | sbs &gt;&gt; 1815311554 | SAMKO &gt;&gt; B2013VR</t>
  </si>
  <si>
    <t>Brake Disc Type &gt;&gt; Internally Vented | for article number &gt;&gt; B2014V | Centering Diameter [mm] &gt;&gt; 79 | Number of Holes &gt;&gt; 5 | Brake Disc Thickness [mm] &gt;&gt; 30 | Height [mm] &gt;&gt; 81 | Diameter [mm] &gt;&gt; 348 | Minimum Thickness [mm] &gt;&gt; 28,4</t>
  </si>
  <si>
    <t>BMW &gt;&gt; 34116750267 | ATE &gt;&gt; 24013001181 | PAGID &gt;&gt; 54229PRO | BOSCH &gt;&gt; 0986479003 | TEXTAR &gt;&gt; 92122900 | QUINTON HAZELL &gt;&gt; BDC5649 | FERODO &gt;&gt; DDF1245 | BREMBO &gt;&gt; 09935510 | MINTEX &gt;&gt; MDC1792 | ZIMMERMANN &gt;&gt; 150340820 | DELPHI &gt;&gt; BG9788 | ROADHOUSE &gt;&gt; 6707810 | REMSA &gt;&gt; 6707810 | TRUSTING &gt;&gt; DF075 | TRW &gt;&gt; DF4349S | BRECO &gt;&gt; 09935510 | INTERBRAKE &gt;&gt; BW681V | CAR &gt;&gt; 142069 | APEC braking &gt;&gt; DSK2291 | PILENGA &gt;&gt; V817 | SAMKO &gt;&gt; B2014V</t>
  </si>
  <si>
    <t>Minimum Thickness [mm] &gt;&gt; 22,4 | for article number &gt;&gt; B2015V | Centering Diameter [mm] &gt;&gt; 79 | Number of Holes &gt;&gt; 5 | Brake Disc Type &gt;&gt; Internally Vented | Height [mm] &gt;&gt; 67 | Diameter [mm] &gt;&gt; 345 | Brake Disc Thickness [mm] &gt;&gt; 24</t>
  </si>
  <si>
    <t>BMW &gt;&gt; 34211166129 | ATE &gt;&gt; 24012401771 | PAGID &gt;&gt; 54232PRO | BOSCH &gt;&gt; 0986479005 | TEXTAR &gt;&gt; 92123200 | JURID &gt;&gt; 562437J | BENDIX &gt;&gt; 562437B | FERODO &gt;&gt; DDF1247 | MINTEX &gt;&gt; MDC1777 | ZIMMERMANN &gt;&gt; 150341100 | DELPHI &gt;&gt; BG9789 | ROADHOUSE &gt;&gt; 685210 | REMSA &gt;&gt; 685210 | TRW &gt;&gt; DF4389S | CAR &gt;&gt; 142071 | PILENGA &gt;&gt; V806 | sbs &gt;&gt; 1815201579 | SAMKO &gt;&gt; B2015V</t>
  </si>
  <si>
    <t>Brake Disc Thickness [mm] &gt;&gt; 20 | for article number &gt;&gt; B2016V | Centering Diameter [mm] &gt;&gt; 75 | Minimum Thickness [mm] &gt;&gt; 18,4 | Brake Disc Type &gt;&gt; Internally Vented | Height [mm] &gt;&gt; 61,2 | Diameter [mm] &gt;&gt; 320 | Number of Holes &gt;&gt; 5</t>
  </si>
  <si>
    <t>BMW &gt;&gt; 34216772085 | BMW &gt;&gt; 34216753215 | PAGID &gt;&gt; 54227PRO | VALEO &gt;&gt; 197084 | BOSCH &gt;&gt; 0986479056 | TEXTAR &gt;&gt; 92122700 | FTE &gt;&gt; BS5459 | QUINTON HAZELL &gt;&gt; BDC5459 | FERODO &gt;&gt; DDF1260 | BREMBO &gt;&gt; 09942510 | MINTEX &gt;&gt; MDC1660 | DELPHI &gt;&gt; BG3872 | METELLI &gt;&gt; 230815 | ROADHOUSE &gt;&gt; 665410 | REMSA &gt;&gt; 665410 | GRAF &gt;&gt; DF29815 | TRW &gt;&gt; DF4360 | BRECO &gt;&gt; 09942510 | INTERBRAKE &gt;&gt; BW761V | CAR &gt;&gt; 1421067 | Brake ENGINEERING &gt;&gt; DI956262 | APEC braking &gt;&gt; DSK2245 | PILENGA &gt;&gt; V812 | CIFAM &gt;&gt; 800815 | SAMKO &gt;&gt; B2016V</t>
  </si>
  <si>
    <t>Brake Disc Thickness [mm] &gt;&gt; 24 | Centering Diameter [mm] &gt;&gt; 79 | for article number &gt;&gt; B2017V | Minimum Thickness [mm] &gt;&gt; 22,4 | Height [mm] &gt;&gt; 73,5 | Diameter [mm] &gt;&gt; 300 | Number of Holes &gt;&gt; 5 | Brake Disc Type &gt;&gt; Internally Vented</t>
  </si>
  <si>
    <t>BMW &gt;&gt; 34116764643 | BMW &gt;&gt; 34116772669 | BMW &gt;&gt; 34116854998 | TEXTAR &gt;&gt; 92137700 | QUINTON HAZELL &gt;&gt; BDC5527 | FERODO &gt;&gt; DDF1536 | BREMBO &gt;&gt; 09A29514 | MINTEX &gt;&gt; MDC1745 | DELPHI &gt;&gt; BG3998 | METELLI &gt;&gt; 230870 | ROADHOUSE &gt;&gt; 697410 | REMSA &gt;&gt; 697410 | GRAF &gt;&gt; DF29870 | TRW &gt;&gt; DF4459 | BRECO &gt;&gt; 09A29514 | INTERBRAKE &gt;&gt; BW841V | CAR &gt;&gt; 1421163 | PILENGA &gt;&gt; V102 | CIFAM &gt;&gt; 800870 | SAMKO &gt;&gt; B2017V</t>
  </si>
  <si>
    <t>Brake Disc Thickness [mm] &gt;&gt; 24 | Surface &gt;&gt; Coated | for article number &gt;&gt; B2017VR | Centering Diameter [mm] &gt;&gt; 79 | Minimum Thickness [mm] &gt;&gt; 22,4 | Brake Disc Type &gt;&gt; Internally Vented | Height [mm] &gt;&gt; 73,5 | Diameter [mm] &gt;&gt; 300 | Number of Holes &gt;&gt; 5</t>
  </si>
  <si>
    <t>BMW &gt;&gt; 34116854998 | BMW &gt;&gt; 34116764643 | BMW &gt;&gt; 34116772669 | ATE &gt;&gt; 24012401971 | PAGID &gt;&gt; 54377PRO | BOSCH &gt;&gt; 0986479216 | TEXTAR &gt;&gt; 92137703 | BREMBO &gt;&gt; 09A29511 | METELLI &gt;&gt; 230870C | BRECO &gt;&gt; 09A29511 | CIFAM &gt;&gt; 800870C | SAMKO &gt;&gt; B2017VR</t>
  </si>
  <si>
    <t>Minimum Thickness [mm] &gt;&gt; 18,4 | for article number &gt;&gt; B2018V | Centering Diameter [mm] &gt;&gt; 75 | Number of Holes &gt;&gt; 5 | Brake Disc Type &gt;&gt; Internally Vented | Height [mm] &gt;&gt; 66 | Diameter [mm] &gt;&gt; 300 | Brake Disc Thickness [mm] &gt;&gt; 20</t>
  </si>
  <si>
    <t>BMW &gt;&gt; 34216764651 | BMW &gt;&gt; 34216855007 | QUINTON HAZELL &gt;&gt; BDC5436 | FERODO &gt;&gt; DDF1549 | MINTEX &gt;&gt; MDC1647 | DELPHI &gt;&gt; BG3901 | ROADHOUSE &gt;&gt; 6123110 | REMSA &gt;&gt; 6123110 | INTERBRAKE &gt;&gt; BW821V | Brake ENGINEERING &gt;&gt; DI956486 | APEC braking &gt;&gt; DSK2294 | PILENGA &gt;&gt; V108 | SAMKO &gt;&gt; B2018V</t>
  </si>
  <si>
    <t>Brake Disc Thickness [mm] &gt;&gt; 20 | Surface &gt;&gt; Coated | for article number &gt;&gt; B2018VR | Centering Diameter [mm] &gt;&gt; 75 | Minimum Thickness [mm] &gt;&gt; 18,4 | Brake Disc Type &gt;&gt; Internally Vented | Height [mm] &gt;&gt; 66 | Diameter [mm] &gt;&gt; 300 | Number of Holes &gt;&gt; 5</t>
  </si>
  <si>
    <t>BMW &gt;&gt; 34216764651 | BMW &gt;&gt; 34216855007 | ATE &gt;&gt; 24012001951 | PAGID &gt;&gt; 54330 | BOSCH &gt;&gt; 0986479218 | TEXTAR &gt;&gt; 92133003 | ZIMMERMANN &gt;&gt; 150342620 | SAMKO &gt;&gt; B2018VR</t>
  </si>
  <si>
    <t>Brake Disc Type &gt;&gt; Internally Vented | for article number &gt;&gt; B2019V | Centering Diameter [mm] &gt;&gt; 75 | Number of Holes &gt;&gt; 5 | Height [mm] &gt;&gt; 80 | Diameter [mm] &gt;&gt; 320 | Minimum Thickness [mm] &gt;&gt; 20,4 | Brake Disc Thickness [mm] &gt;&gt; 22</t>
  </si>
  <si>
    <t>BMW &gt;&gt; 34213332217 | PAGID &gt;&gt; 54416PRO | TEXTAR &gt;&gt; 92141600 | FTE &gt;&gt; BS7070 | QUINTON HAZELL &gt;&gt; BDC5508 | FERODO &gt;&gt; DDF1297 | BREMBO &gt;&gt; 09957310 | MINTEX &gt;&gt; MDC1720 | DELPHI &gt;&gt; BG3943 | METELLI &gt;&gt; 230813 | ROADHOUSE &gt;&gt; 697910 | REMSA &gt;&gt; 697910 | GRAF &gt;&gt; DF29813 | TRW &gt;&gt; DF4388 | BRECO &gt;&gt; 09957310 | INTERBRAKE &gt;&gt; BW721V | CAR &gt;&gt; 1421056 | Brake ENGINEERING &gt;&gt; DI956480 | APEC braking &gt;&gt; DSK2368 | PILENGA &gt;&gt; V805 | sbs &gt;&gt; 1815201565 | CIFAM &gt;&gt; 800813 | SAMKO &gt;&gt; B2019V</t>
  </si>
  <si>
    <t>Brake Disc Thickness [mm] &gt;&gt; 36 | for article number &gt;&gt; B2020V | Centering Diameter [mm] &gt;&gt; 75 | Minimum Thickness [mm] &gt;&gt; 34,4 | Brake Disc Type &gt;&gt; Internally Vented | Height [mm] &gt;&gt; 61,9 | Diameter [mm] &gt;&gt; 356 | Number of Holes &gt;&gt; 5</t>
  </si>
  <si>
    <t>BMW &gt;&gt; 34116756847 | ATE &gt;&gt; 24013601041 | PAGID &gt;&gt; 54462PRO | BOSCH &gt;&gt; 0986479349 | TEXTAR &gt;&gt; 92146200 | QUINTON HAZELL &gt;&gt; BDC5534 | FERODO &gt;&gt; DDF1584 | MINTEX &gt;&gt; MDC1765 | DELPHI &gt;&gt; BG9004 | TRW &gt;&gt; DF4701 | INTERBRAKE &gt;&gt; BW651V | CAR &gt;&gt; 142075 | APEC braking &gt;&gt; DSK2461 | PILENGA &gt;&gt; V804 | SAMKO &gt;&gt; B2020V</t>
  </si>
  <si>
    <t>Brake Disc Thickness [mm] &gt;&gt; 20 | Centering Diameter [mm] &gt;&gt; 75 | for article number &gt;&gt; B2022V | Minimum Thickness [mm] &gt;&gt; 18,4 | Height [mm] &gt;&gt; 80 | Diameter [mm] &gt;&gt; 324 | Number of Holes &gt;&gt; 5 | Brake Disc Type &gt;&gt; Internally Vented</t>
  </si>
  <si>
    <t>BMW &gt;&gt; 34216756849 | ATE &gt;&gt; 24012001911 | PAGID &gt;&gt; 54463PRO | BOSCH &gt;&gt; 0986479350 | TEXTAR &gt;&gt; 92146300 | QUINTON HAZELL &gt;&gt; BDC5651 | FERODO &gt;&gt; DDF1583 | DELPHI &gt;&gt; BG3999 | TRW &gt;&gt; DF4299 | INTERBRAKE &gt;&gt; BW661V | CAR &gt;&gt; 142065 | APEC braking &gt;&gt; DSK2462 | FREMAX &gt;&gt; BD6849 | PILENGA &gt;&gt; V460 | sbs &gt;&gt; 1815201585 | SAMKO &gt;&gt; B2022V</t>
  </si>
  <si>
    <t>Brake Disc Thickness [mm] &gt;&gt; 22 | for article number &gt;&gt; B2023V | Centering Diameter [mm] &gt;&gt; 75 | Minimum Thickness [mm] &gt;&gt; 20,4 | Brake Disc Type &gt;&gt; Internally Vented | Height [mm] &gt;&gt; 67,3 | Diameter [mm] &gt;&gt; 336 | Number of Holes &gt;&gt; 5</t>
  </si>
  <si>
    <t>BMW &gt;&gt; 34216764655 | BMW &gt;&gt; 34216855004 | TEXTAR &gt;&gt; 92137900 | JURID &gt;&gt; 562334J | BENDIX &gt;&gt; 562334B | FTE &gt;&gt; BS7233 | QUINTON HAZELL &gt;&gt; BDC5531 | FERODO &gt;&gt; DDF1550 | BREMBO &gt;&gt; 09A27010 | MINTEX &gt;&gt; MDC1757 | DELPHI &gt;&gt; BG3961 | ROADHOUSE &gt;&gt; 697610 | REMSA &gt;&gt; 697610 | BRECO &gt;&gt; 09A27010 | BRECO &gt;&gt; BS8720 | INTERBRAKE &gt;&gt; BW851V | CAR &gt;&gt; 1421164 | PILENGA &gt;&gt; V710 | sbs &gt;&gt; 1815201569 | SAMKO &gt;&gt; B2023V</t>
  </si>
  <si>
    <t>Brake Disc Thickness [mm] &gt;&gt; 22 | for article number &gt;&gt; B2023VR | Centering Diameter [mm] &gt;&gt; 75 | Surface &gt;&gt; Coated | Brake Disc Type &gt;&gt; Internally Vented | Height [mm] &gt;&gt; 67,3 | Diameter [mm] &gt;&gt; 336 | Minimum Thickness [mm] &gt;&gt; 20,4 | Number of Holes &gt;&gt; 5</t>
  </si>
  <si>
    <t>BMW &gt;&gt; 34216764655 | BMW &gt;&gt; 34216855004 | ATE &gt;&gt; 24012202361 | PAGID &gt;&gt; 54379 | BOSCH &gt;&gt; 0986479439 | TEXTAR &gt;&gt; 92137903 | BENDIX &gt;&gt; 562334BC | BREMBO &gt;&gt; 09A27011 | ZIMMERMANN &gt;&gt; 150343020 | METELLI &gt;&gt; 230873C | TRW &gt;&gt; DF4461S | BRECO &gt;&gt; 09A27011 | BRECO &gt;&gt; BV8720 | sbs &gt;&gt; 1815311569 | CIFAM &gt;&gt; 800873C | SAMKO &gt;&gt; B2023VR</t>
  </si>
  <si>
    <t>Brake Disc Type &gt;&gt; Internally Vented | for article number &gt;&gt; B2024V | Centering Diameter [mm] &gt;&gt; 79 | Number of Holes &gt;&gt; 5 | Brake Disc Thickness [mm] &gt;&gt; 24 | Height [mm] &gt;&gt; 73,3 | Diameter [mm] &gt;&gt; 330 | Minimum Thickness [mm] &gt;&gt; 22,4</t>
  </si>
  <si>
    <t>BMW &gt;&gt; 34116764645 | BMW &gt;&gt; 34116854999 | JURID &gt;&gt; 562395J | BENDIX &gt;&gt; 562395B | QUINTON HAZELL &gt;&gt; BDC5528 | FERODO &gt;&gt; DDF1535 | BREMBO &gt;&gt; 09A25910 | MINTEX &gt;&gt; MDC1732 | DELPHI &gt;&gt; BG3959 | ROADHOUSE &gt;&gt; 697510 | REMSA &gt;&gt; 697510 | TRUSTING &gt;&gt; DF1074 | BRECO &gt;&gt; BS8719 | BRECO &gt;&gt; 09A25910 | INTERBRAKE &gt;&gt; BW861V | CAR &gt;&gt; 1421165 | PILENGA &gt;&gt; V711 | sbs &gt;&gt; 1815201568 | SAMKO &gt;&gt; B2024V</t>
  </si>
  <si>
    <t>Minimum Thickness [mm] &gt;&gt; 22,4 | Centering Diameter [mm] &gt;&gt; 79 | for article number &gt;&gt; B2024VR | Number of Holes &gt;&gt; 5 | Brake Disc Type &gt;&gt; Internally Vented | Brake Disc Thickness [mm] &gt;&gt; 24 | Height [mm] &gt;&gt; 73,3 | Diameter [mm] &gt;&gt; 330 | Surface &gt;&gt; Coated</t>
  </si>
  <si>
    <t>BMW &gt;&gt; 34116764645 | BMW &gt;&gt; 34116854999 | ATE &gt;&gt; 24012402001 | PAGID &gt;&gt; 54378 | BOSCH &gt;&gt; 0986479215 | TEXTAR &gt;&gt; 92137803 | BENDIX &gt;&gt; 562395BC | BREMBO &gt;&gt; 09A25911 | ZIMMERMANN &gt;&gt; 150342820 | METELLI &gt;&gt; 230872C | TRW &gt;&gt; DF4460S | BRECO &gt;&gt; 09A25911 | BRECO &gt;&gt; BV8719 | sbs &gt;&gt; 1815311568 | CIFAM &gt;&gt; 800872C | SAMKO &gt;&gt; B2024VR</t>
  </si>
  <si>
    <t>Brake Disc Type &gt;&gt; Internally Vented | for article number &gt;&gt; B2025V | Centering Diameter [mm] &gt;&gt; 64,1 | Number of Holes &gt;&gt; 4 | Brake Disc Thickness [mm] &gt;&gt; 22 | Height [mm] &gt;&gt; 44,2 | Diameter [mm] &gt;&gt; 294 | Minimum Thickness [mm] &gt;&gt; 19</t>
  </si>
  <si>
    <t>MINI &gt;&gt; 34116774986 | MINI &gt;&gt; 34116858652 | ATE &gt;&gt; 24012202471 | PAGID &gt;&gt; 54835PRO | BOSCH &gt;&gt; 0986479438 | FERODO &gt;&gt; DDF1711 | MINTEX &gt;&gt; MDC2083 | ROADHOUSE &gt;&gt; 6133410 | REMSA &gt;&gt; 6133410 | TRW &gt;&gt; DF6010 | INTERBRAKE &gt;&gt; BW871V | CAR &gt;&gt; 1421222 | PILENGA &gt;&gt; V469 | SAMKO &gt;&gt; B2025V</t>
  </si>
  <si>
    <t>Minimum Thickness [mm] &gt;&gt; 19 | Brake Disc Thickness [mm] &gt;&gt; 22 | for article number &gt;&gt; B2026V | Centering Diameter [mm] &gt;&gt; 64,1 | Diameter [mm] &gt;&gt; 280 | Brake Disc Type &gt;&gt; Internally Vented | Height [mm] &gt;&gt; 44,2 | Number of Holes &gt;&gt; 4</t>
  </si>
  <si>
    <t>MINI &gt;&gt; 34116774985 | TEXTAR &gt;&gt; 92157905 | QUINTON HAZELL &gt;&gt; BDC5764 | FERODO &gt;&gt; DDF1617 | MINTEX &gt;&gt; MDC1775 | DELPHI &gt;&gt; BG4146 | METELLI &gt;&gt; 230940 | ROADHOUSE &gt;&gt; 6108110 | REMSA &gt;&gt; 6108110 | TRW &gt;&gt; DF4799 | INTERBRAKE &gt;&gt; BW881V | CAR &gt;&gt; 1421223 | PILENGA &gt;&gt; V713 | CIFAM &gt;&gt; 800940 | SAMKO &gt;&gt; B2026V</t>
  </si>
  <si>
    <t>Brake Disc Thickness [mm] &gt;&gt; 22 | Surface &gt;&gt; Coated | for article number &gt;&gt; B2026VR | Centering Diameter [mm] &gt;&gt; 64,1 | Minimum Thickness [mm] &gt;&gt; 19 | Brake Disc Type &gt;&gt; Internally Vented | Height [mm] &gt;&gt; 44,2 | Diameter [mm] &gt;&gt; 280 | Number of Holes &gt;&gt; 4</t>
  </si>
  <si>
    <t>MINI &gt;&gt; 34116774985 | ATE &gt;&gt; 24012202481 | PAGID &gt;&gt; 54579PRO | BOSCH &gt;&gt; 0986479437 | TEXTAR &gt;&gt; 92157903 | METELLI &gt;&gt; 230940C | CIFAM &gt;&gt; 800940C | SAMKO &gt;&gt; B2026VR</t>
  </si>
  <si>
    <t>Centering Diameter [mm] &gt;&gt; 75 | Minimum Thickness [mm] &gt;&gt; 17,4 | for article number &gt;&gt; B2027V | Number of Holes &gt;&gt; 5 | Brake Disc Type &gt;&gt; Internally Vented | Height [mm] &gt;&gt; 60,5 | Diameter [mm] &gt;&gt; 294 | Brake Disc Thickness [mm] &gt;&gt; 19</t>
  </si>
  <si>
    <t>BMW &gt;&gt; 34211166165 | ATE &gt;&gt; 24011901131 | PAGID &gt;&gt; 54417PRO | TEXTAR &gt;&gt; 92141700 | FERODO &gt;&gt; DDF1581 | ZIMMERMANN &gt;&gt; 150343300 | ROADHOUSE &gt;&gt; 677210 | REMSA &gt;&gt; 677210 | TRW &gt;&gt; DF4296 | INTERBRAKE &gt;&gt; BW891V | CAR &gt;&gt; 1421190 | PILENGA &gt;&gt; V801 | SAMKO &gt;&gt; B2027V</t>
  </si>
  <si>
    <t>for article number &gt;&gt; B2029V | Diameter [mm] &gt;&gt; 324 | Height [mm] &gt;&gt; 73,7 | Brake Disc Type &gt;&gt; Internally Vented | Brake Disc Thickness [mm] &gt;&gt; 29,9 | Minimum Thickness [mm] &gt;&gt; 28,4 | Number of Holes &gt;&gt; 5 | Centering Diameter [mm] &gt;&gt; 79</t>
  </si>
  <si>
    <t>BMW &gt;&gt; 34111165859 | BMW &gt;&gt; 34116767059 | ATE &gt;&gt; 24013001071 | PAGID &gt;&gt; 50320 | BOSCH &gt;&gt; 0986478024 | TEXTAR &gt;&gt; 92107100 | JURID &gt;&gt; 562200J | BENDIX &gt;&gt; 562200B | QUINTON HAZELL &gt;&gt; BDC5310 | FERODO &gt;&gt; DDF1202 | BREMBO &gt;&gt; 09896110 | BREMBO &gt;&gt; 09896121 | MINTEX &gt;&gt; MDC1486 | ZIMMERMANN &gt;&gt; 150129600 | DELPHI &gt;&gt; BG9005 | METELLI &gt;&gt; 230693 | ROADHOUSE &gt;&gt; 659910 | REMSA &gt;&gt; 659910 | GRAF &gt;&gt; DF29693 | TRW &gt;&gt; DF4248S | BRECO &gt;&gt; 09896110 | BRECO &gt;&gt; 09896121 | INTERBRAKE &gt;&gt; BW621V | CAR &gt;&gt; 142079 | Brake ENGINEERING &gt;&gt; DI956144 | APEC braking &gt;&gt; DSK2199 | PILENGA &gt;&gt; V816 | sbs &gt;&gt; 1815201544 | CIFAM &gt;&gt; 800693 | SAMKO &gt;&gt; B2029V</t>
  </si>
  <si>
    <t>Centering Diameter [mm] &gt;&gt; 75 | Number of Holes &gt;&gt; 5 | Minimum Thickness [mm] &gt;&gt; 18,4 | Brake Disc Thickness [mm] &gt;&gt; 20 | Brake Disc Type &gt;&gt; Internally Vented | Diameter [mm] &gt;&gt; 328 | for article number &gt;&gt; B2030V | Height [mm] &gt;&gt; 61</t>
  </si>
  <si>
    <t>BMW &gt;&gt; 34216767062 | BMW &gt;&gt; 34212282304 | BMW &gt;&gt; 34216751194 | BMW &gt;&gt; 34211160233 | ATE &gt;&gt; 24012001821 | PAGID &gt;&gt; 50435 | TEXTAR &gt;&gt; 92074900 | JURID &gt;&gt; 562092J | BENDIX &gt;&gt; 562092B | FTE &gt;&gt; BS4786 | QUINTON HAZELL &gt;&gt; BDC4786 | MINTEX &gt;&gt; MDC1259 | ZIMMERMANN &gt;&gt; 150128100 | DELPHI &gt;&gt; BG3213 | TRW &gt;&gt; DF4891 | INTERBRAKE &gt;&gt; BW641V | CAR &gt;&gt; 142067 | Brake ENGINEERING &gt;&gt; DI955545 | APEC braking &gt;&gt; DSK366 | PILENGA &gt;&gt; V106 | sbs &gt;&gt; 1815201562 | SAMKO &gt;&gt; B2030V</t>
  </si>
  <si>
    <t>Minimum Thickness [mm] &gt;&gt; 18,4 | Centering Diameter [mm] &gt;&gt; 79 | for article number &gt;&gt; B2032V | Number of Holes &gt;&gt; 5 | Brake Disc Type &gt;&gt; Internally Vented | Diameter [mm] &gt;&gt; 324 | Height [mm] &gt;&gt; 65 | Brake Disc Thickness [mm] &gt;&gt; 20</t>
  </si>
  <si>
    <t>BMW &gt;&gt; 34211166127 | ATE &gt;&gt; 24012001781 | PAGID &gt;&gt; 54231PRO | BOSCH &gt;&gt; 0986479004 | TEXTAR &gt;&gt; 92123100 | QUINTON HAZELL &gt;&gt; BDC5650 | FERODO &gt;&gt; DDF1244 | BREMBO &gt;&gt; 09916410 | MINTEX &gt;&gt; MDC1796 | ZIMMERMANN &gt;&gt; 150341000 | DELPHI &gt;&gt; BG3787 | ROADHOUSE &gt;&gt; 6108210 | REMSA &gt;&gt; 6108210 | TRW &gt;&gt; DF4391 | BRECO &gt;&gt; 09916410 | INTERBRAKE &gt;&gt; BW691V | CAR &gt;&gt; 142070 | APEC braking &gt;&gt; DSK2361 | KAWE &gt;&gt; 38498 | PILENGA &gt;&gt; V808 | SAMKO &gt;&gt; B2032V</t>
  </si>
  <si>
    <t>Brake Disc Thickness [mm] &gt;&gt; 28 | for article number &gt;&gt; B2034V | Centering Diameter [mm] &gt;&gt; 79 | Minimum Thickness [mm] &gt;&gt; 26,4 | Brake Disc Type &gt;&gt; Internally Vented | Height [mm] &gt;&gt; 55 | Diameter [mm] &gt;&gt; 296 | Number of Holes &gt;&gt; 5</t>
  </si>
  <si>
    <t>BMW &gt;&gt; 34111165263 | BMW &gt;&gt; 34111158550 | ATE &gt;&gt; 24012801221 | PAGID &gt;&gt; 50437 | TEXTAR &gt;&gt; 92067400 | JURID &gt;&gt; 561990J | BENDIX &gt;&gt; 561990B | FERODO &gt;&gt; DDF712 | BREMBO &gt;&gt; 09711510 | MINTEX &gt;&gt; MDC1202 | ZIMMERMANN &gt;&gt; 150127500 | DELPHI &gt;&gt; BG3037 | METELLI &gt;&gt; 230808 | ROADHOUSE &gt;&gt; 677810 | REMSA &gt;&gt; 677810 | TRUSTING &gt;&gt; DF996 | GRAF &gt;&gt; DF29808 | TRW &gt;&gt; DF4348 | BRECO &gt;&gt; 09711510 | INTERBRAKE &gt;&gt; BW591V | CAR &gt;&gt; 142074 | KAWE &gt;&gt; 37908 | fri.tech. &gt;&gt; DF996 | CIFAM &gt;&gt; 800808 | SAMKO &gt;&gt; B2034V</t>
  </si>
  <si>
    <t>Brake Disc Type &gt;&gt; Internally Vented | Centering Diameter [mm] &gt;&gt; 79 | Number of Holes &gt;&gt; 5 | for article number &gt;&gt; B2035V | Height [mm] &gt;&gt; 77,1 | Diameter [mm] &gt;&gt; 334 | Minimum Thickness [mm] &gt;&gt; 30,4 | Brake Disc Thickness [mm] &gt;&gt; 32</t>
  </si>
  <si>
    <t>BMW &gt;&gt; 34111161372 | BMW &gt;&gt; 34111164973 | BMW &gt;&gt; 34116757756 | ATE &gt;&gt; 24013201131 | PAGID &gt;&gt; 50434 | BOSCH &gt;&gt; 0986478623 | TEXTAR &gt;&gt; 92072200 | JURID &gt;&gt; 562091J | BENDIX &gt;&gt; 562091B | QUINTON HAZELL &gt;&gt; BDC4785 | FERODO &gt;&gt; DDF832 | BREMBO &gt;&gt; 09691311 | MINTEX &gt;&gt; MDC1258 | ZIMMERMANN &gt;&gt; 150128000 | DELPHI &gt;&gt; BG9212 | ROADHOUSE &gt;&gt; 659410 | REMSA &gt;&gt; 659410 | TRUSTING &gt;&gt; DF938 | TRW &gt;&gt; DF2770 | BRECO &gt;&gt; BV8257 | BRECO &gt;&gt; 09691311 | INTERBRAKE &gt;&gt; BW471V | CAR &gt;&gt; 142086 | KAWE &gt;&gt; 38034 | PILENGA &gt;&gt; V463 | fri.tech. &gt;&gt; DF938 | sbs &gt;&gt; 1815201542 | SAMKO &gt;&gt; B2035V</t>
  </si>
  <si>
    <t>for article number &gt;&gt; B2036V | Diameter [mm] &gt;&gt; 348 | Height [mm] &gt;&gt; 77 | Brake Disc Type &gt;&gt; Internally Vented | Brake Disc Thickness [mm] &gt;&gt; 36 | Minimum Thickness [mm] &gt;&gt; 34,4 | Number of Holes &gt;&gt; 5 | Centering Diameter [mm] &gt;&gt; 79</t>
  </si>
  <si>
    <t>BMW &gt;&gt; 34116779467 | BMW &gt;&gt; 34116766871 | ATE &gt;&gt; 24013601062 | PAGID &gt;&gt; 54824PRO | FERODO &gt;&gt; DDF1867 | TRW &gt;&gt; DF6003 | INTERBRAKE &gt;&gt; BW731V | CAR &gt;&gt; 1421060 | SAMKO &gt;&gt; B2036V</t>
  </si>
  <si>
    <t>Centering Diameter [mm] &gt;&gt; 79 | Number of Holes &gt;&gt; 5 | Minimum Thickness [mm] &gt;&gt; 28,4 | Brake Disc Thickness [mm] &gt;&gt; 30 | Brake Disc Type &gt;&gt; Internally Vented | Diameter [mm] &gt;&gt; 324 | for article number &gt;&gt; B2037V | Height [mm] &gt;&gt; 77</t>
  </si>
  <si>
    <t>BMW &gt;&gt; 34116753221 | BMW &gt;&gt; 34116767269 | ATE &gt;&gt; 24013001731 | PAGID &gt;&gt; 54226PRO | BOSCH &gt;&gt; 0986479115 | TEXTAR &gt;&gt; 92122600 | QUINTON HAZELL &gt;&gt; BDC5458 | FERODO &gt;&gt; DDF1242 | MINTEX &gt;&gt; MDC1659 | ZIMMERMANN &gt;&gt; 150340300 | DELPHI &gt;&gt; BG9871 | ROADHOUSE &gt;&gt; 685310 | REMSA &gt;&gt; 685310 | TRUSTING &gt;&gt; DF1076 | TRW &gt;&gt; DF4361 | INTERBRAKE &gt;&gt; BW741V | CAR &gt;&gt; 1421065 | Brake ENGINEERING &gt;&gt; DI956261 | APEC braking &gt;&gt; DSK2392 | KAWE &gt;&gt; 38493 | PILENGA &gt;&gt; V818 | fri.tech. &gt;&gt; DF1076 | SAMKO &gt;&gt; B2037V</t>
  </si>
  <si>
    <t>Minimum Thickness [mm] &gt;&gt; 28,4 | for article number &gt;&gt; B2038V | Centering Diameter [mm] &gt;&gt; 78,7 | Number of Holes &gt;&gt; 5 | Brake Disc Type &gt;&gt; Internally Vented | Diameter [mm] &gt;&gt; 348 | Height [mm] &gt;&gt; 73,6 | Brake Disc Thickness [mm] &gt;&gt; 30</t>
  </si>
  <si>
    <t>BMW &gt;&gt; 34116770729 | ATE &gt;&gt; 24013001921 | PAGID &gt;&gt; 54553PRO | BOSCH &gt;&gt; 0986479265 | TEXTAR &gt;&gt; 92155300 | QUINTON HAZELL &gt;&gt; BDC5529 | FERODO &gt;&gt; DDF1634 | MINTEX &gt;&gt; MDC1909 | ZIMMERMANN &gt;&gt; 150344100 | ROADHOUSE &gt;&gt; 6108010 | REMSA &gt;&gt; 6108010 | TRUSTING &gt;&gt; DF1250 | INTERBRAKE &gt;&gt; BW951V | CAR &gt;&gt; 1421434 | PILENGA &gt;&gt; V712 | fri.tech. &gt;&gt; DF1250 | sbs &gt;&gt; 1815201580 | SAMKO &gt;&gt; B2038V</t>
  </si>
  <si>
    <t>Brake Disc Thickness [mm] &gt;&gt; 20 | for article number &gt;&gt; B2039V | Centering Diameter [mm] &gt;&gt; 75 | Minimum Thickness [mm] &gt;&gt; 18,4 | Brake Disc Type &gt;&gt; Internally Vented | Height [mm] &gt;&gt; 66,4 | Diameter [mm] &gt;&gt; 300 | Number of Holes &gt;&gt; 5</t>
  </si>
  <si>
    <t>BMW &gt;&gt; 34216764653 | BMW &gt;&gt; 34216855008 | BMW &gt;&gt; 34216864901 | ATE &gt;&gt; 24012002041 | PAGID &gt;&gt; 54549PRO | BOSCH &gt;&gt; 0986479263 | TEXTAR &gt;&gt; 92154900 | QUINTON HAZELL &gt;&gt; BDC5530 | FERODO &gt;&gt; DDF1697 | MINTEX &gt;&gt; MDC2232 | ZIMMERMANN &gt;&gt; 150343700 | ROADHOUSE &gt;&gt; 697710 | REMSA &gt;&gt; 697710 | TRUSTING &gt;&gt; DF1095 | TRW &gt;&gt; DF4802 | INTERBRAKE &gt;&gt; BW981V | PILENGA &gt;&gt; V1403 | fri.tech. &gt;&gt; DF1095 | sbs &gt;&gt; 1815201581 | SAMKO &gt;&gt; B2039V</t>
  </si>
  <si>
    <t>Minimum Thickness [mm] &gt;&gt; 28,4 | Centering Diameter [mm] &gt;&gt; 75 | for article number &gt;&gt; B2040V | Number of Holes &gt;&gt; 5 | Brake Disc Type &gt;&gt; Internally Vented | Diameter [mm] &gt;&gt; 348 | Height [mm] &gt;&gt; 62,1 | Brake Disc Thickness [mm] &gt;&gt; 30</t>
  </si>
  <si>
    <t>BMW &gt;&gt; 34116771986 | BMW &gt;&gt; 34116793244 | ATE &gt;&gt; 24013001991 | PAGID &gt;&gt; 54609PRO | BOSCH &gt;&gt; 0986479436 | FERODO &gt;&gt; DDF1713 | ROADHOUSE &gt;&gt; 6133510 | REMSA &gt;&gt; 6133510 | TRW &gt;&gt; DF4853 | INTERBRAKE &gt;&gt; BW991V | CAR &gt;&gt; 1421464 | PILENGA &gt;&gt; V716 | SAMKO &gt;&gt; B2040V</t>
  </si>
  <si>
    <t>Brake Disc Thickness [mm] &gt;&gt; 13 | for article number &gt;&gt; B2041P | Centering Diameter [mm] &gt;&gt; 63 | Minimum Thickness [mm] &gt;&gt; 11,7 | Brake Disc Type &gt;&gt; Solid | Height [mm] &gt;&gt; 75 | Diameter [mm] &gt;&gt; 255 | Number of Holes &gt;&gt; 4</t>
  </si>
  <si>
    <t>BMW &gt;&gt; 34111163125 | BMW &gt;&gt; 34111116675 | BMW &gt;&gt; 34111119248 | BMW &gt;&gt; 34111119249 | BMW &gt;&gt; 34111119112 | BMW &gt;&gt; 34111163126 | BMW &gt;&gt; 34111163128 | ATE &gt;&gt; 24011301381 | PAGID &gt;&gt; 50404 | VALEO &gt;&gt; 186115 | BOSCH &gt;&gt; 0986478032 | TEXTAR &gt;&gt; 92011600 | JURID &gt;&gt; 561108J | BENDIX &gt;&gt; 561108B | FTE &gt;&gt; BS3118 | QUINTON HAZELL &gt;&gt; BDC3118 | FERODO &gt;&gt; DDF075 | BREMBO &gt;&gt; 08328820 | MINTEX &gt;&gt; MDC164 | ZIMMERMANN &gt;&gt; 150113300 | DELPHI &gt;&gt; BG180 | METELLI &gt;&gt; 230040 | ROADHOUSE &gt;&gt; 616700 | REMSA &gt;&gt; 616700 | GRAF &gt;&gt; DF2840 | TRW &gt;&gt; DF1553 | BRADI &gt;&gt; 1060414 | BRECO &gt;&gt; BS7194 | BRECO &gt;&gt; 08328820 | INTERBRAKE &gt;&gt; BW041P | CAR &gt;&gt; 142116 | PILENGA &gt;&gt; 5116 | PILENGA &gt;&gt; V111 | sbs &gt;&gt; 1815201501 | CIFAM &gt;&gt; 800040 | SAMKO &gt;&gt; B2041P | URPA &gt;&gt; 101075</t>
  </si>
  <si>
    <t>Brake Disc Thickness [mm] &gt;&gt; 24 | Centering Diameter [mm] &gt;&gt; 79 | for article number &gt;&gt; B2042V | Minimum Thickness [mm] &gt;&gt; 22,4 | Height [mm] &gt;&gt; 67 | Diameter [mm] &gt;&gt; 370 | Number of Holes &gt;&gt; 5 | Brake Disc Type &gt;&gt; Internally Vented</t>
  </si>
  <si>
    <t>BMW &gt;&gt; 34211166131 | ATE &gt;&gt; 24012401861 | PAGID &gt;&gt; 54233PRO | TEXTAR &gt;&gt; 92123300 | MINTEX &gt;&gt; MDC1662 | ZIMMERMANN &gt;&gt; 150341200 | PILENGA &gt;&gt; V105 | SAMKO &gt;&gt; B2042V</t>
  </si>
  <si>
    <t>Brake Disc Thickness [mm] &gt;&gt; 20 | for article number &gt;&gt; B2043V | Centering Diameter [mm] &gt;&gt; 75 | Minimum Thickness [mm] &gt;&gt; 18,4 | Brake Disc Type &gt;&gt; Internally Vented | Height [mm] &gt;&gt; 86 | Diameter [mm] &gt;&gt; 320 | Number of Holes &gt;&gt; 5</t>
  </si>
  <si>
    <t>BMW &gt;&gt; 34216763345 | ATE &gt;&gt; 24012002131 | PAGID &gt;&gt; 55020PRO | BOSCH &gt;&gt; 0986479351 | FERODO &gt;&gt; DDF1868 | ZIMMERMANN &gt;&gt; 150346620 | CAR &gt;&gt; 1421562 | PILENGA &gt;&gt; V714 | SAMKO &gt;&gt; B2043V</t>
  </si>
  <si>
    <t>Brake Disc Thickness [mm] &gt;&gt; 24 | Centering Diameter [mm] &gt;&gt; 79 | for article number &gt;&gt; B2044V | Minimum Thickness [mm] &gt;&gt; 22,4 | Height [mm] &gt;&gt; 74 | Diameter [mm] &gt;&gt; 370 | Brake Disc Type &gt;&gt; Internally Vented | Number of Holes &gt;&gt; 5</t>
  </si>
  <si>
    <t>BMW &gt;&gt; 34216765891 | ATE &gt;&gt; 24012402141 | PAGID &gt;&gt; 54552PRO | ZIMMERMANN &gt;&gt; 150344000 | PILENGA &gt;&gt; V467 | SAMKO &gt;&gt; B2044V</t>
  </si>
  <si>
    <t>for article number &gt;&gt; B2045V | Diameter [mm] &gt;&gt; 300 | Height [mm] &gt;&gt; 76,2 | Brake Disc Type &gt;&gt; Internally Vented | Brake Disc Thickness [mm] &gt;&gt; 20 | Minimum Thickness [mm] &gt;&gt; 18,4 | Number of Holes &gt;&gt; 5 | Centering Diameter [mm] &gt;&gt; 75</t>
  </si>
  <si>
    <t>BMW &gt;&gt; 34216778049 | ATE &gt;&gt; 24012002151 | PAGID &gt;&gt; 55271PRO | BOSCH &gt;&gt; 0986479496 | ZIMMERMANN &gt;&gt; 150346320 | CAR &gt;&gt; 1421389 | PILENGA &gt;&gt; V724 | SAMKO &gt;&gt; B2045V</t>
  </si>
  <si>
    <t>Centering Diameter [mm] &gt;&gt; 75 | Number of Holes &gt;&gt; 5 | Minimum Thickness [mm] &gt;&gt; 18,4 | Brake Disc Thickness [mm] &gt;&gt; 20 | Brake Disc Type &gt;&gt; Internally Vented | Diameter [mm] &gt;&gt; 300 | for article number &gt;&gt; B2046V | Height [mm] &gt;&gt; 76</t>
  </si>
  <si>
    <t>BMW &gt;&gt; 34216778051 | ATE &gt;&gt; 24012002141 | BOSCH &gt;&gt; 0986479497 | ZIMMERMANN &gt;&gt; 150346220 | ROADHOUSE &gt;&gt; 6133810 | REMSA &gt;&gt; 6133810 | CAR &gt;&gt; 1421390 | PILENGA &gt;&gt; V722 | SAMKO &gt;&gt; B2046V</t>
  </si>
  <si>
    <t>for article number &gt;&gt; 6T48176 | Thread Measurement 1 &gt;&gt; F10X1 | Length [mm] &gt;&gt; 220 | Thread Measurement 2 &gt;&gt; F10X1</t>
  </si>
  <si>
    <t>HYUNDAI &gt;&gt; 587443A300 | BREMBO &gt;&gt; T30093 | TRISCAN &gt;&gt; 815043150 | NK &gt;&gt; 853471 | BRECO &gt;&gt; T30093 | MALO &gt;&gt; 80516 | SAMKO &gt;&gt; 6T48176</t>
  </si>
  <si>
    <t>Thread Measurement 2 &gt;&gt; o 10 | Length [mm] &gt;&gt; 350 | for article number &gt;&gt; 6T48177 | Thread Measurement 1 &gt;&gt; F10X1</t>
  </si>
  <si>
    <t>HYUNDAI &gt;&gt; 587373A300 | BREMBO &gt;&gt; T30094 | TRISCAN &gt;&gt; 815043222 | NK &gt;&gt; 853472 | BRECO &gt;&gt; T30094 | MALO &gt;&gt; 80517 | SAMKO &gt;&gt; 6T48177</t>
  </si>
  <si>
    <t>Thread Measurement 2 &gt;&gt; o 10 | Length [mm] &gt;&gt; 365 | for article number &gt;&gt; 6T48180 | Thread Measurement 1 &gt;&gt; F10X1</t>
  </si>
  <si>
    <t>HYUNDAI &gt;&gt; 587372E300 | BOSCH &gt;&gt; 1987481499 | BREMBO &gt;&gt; T24123 | TRISCAN &gt;&gt; 815043148 | NK &gt;&gt; 853477 | CEF &gt;&gt; 512832 | BRECO &gt;&gt; T24123 | MALO &gt;&gt; 80520 | SAMKO &gt;&gt; 6T48180 | BLUE PRINT &gt;&gt; ADG053141</t>
  </si>
  <si>
    <t>Length [mm] &gt;&gt; 705 | for article number &gt;&gt; 6T48193 | Thread Measurement 1 &gt;&gt; F10X1 | Thread Measurement 2 &gt;&gt; o 10</t>
  </si>
  <si>
    <t>KIA &gt;&gt; 587322G000 | BREMBO &gt;&gt; T30099 | TRISCAN &gt;&gt; 815018126 | NK &gt;&gt; 853511 | BRECO &gt;&gt; T30099 | MALO &gt;&gt; 80533 | SAMKO &gt;&gt; 6T48193</t>
  </si>
  <si>
    <t>for article number &gt;&gt; 6T48194 | Thread Measurement 1 &gt;&gt; F10X1 | Length [mm] &gt;&gt; 545 | Thread Measurement 2 &gt;&gt; o 10</t>
  </si>
  <si>
    <t>KIA &gt;&gt; 587312G000 | BREMBO &gt;&gt; T30100 | TRISCAN &gt;&gt; 815018127 | NK &gt;&gt; 853510 | BRECO &gt;&gt; T30100 | MALO &gt;&gt; 80534 | SAMKO &gt;&gt; 6T48194</t>
  </si>
  <si>
    <t>Length [mm] &gt;&gt; 290 | for article number &gt;&gt; 6T48195 | Thread Measurement 1 &gt;&gt; F10X1 | Thread Measurement 2 &gt;&gt; o 10</t>
  </si>
  <si>
    <t>KIA &gt;&gt; 587452G000 | BREMBO &gt;&gt; T30101 | TRISCAN &gt;&gt; 815018128 | NK &gt;&gt; 853513 | BRECO &gt;&gt; T30101 | MALO &gt;&gt; 80535 | SAMKO &gt;&gt; 6T48195</t>
  </si>
  <si>
    <t>for article number &gt;&gt; 6T48196 | Thread Measurement 1 &gt;&gt; F10X1 | Length [mm] &gt;&gt; 290 | Thread Measurement 2 &gt;&gt; o 10</t>
  </si>
  <si>
    <t>KIA &gt;&gt; 587442G000 | BREMBO &gt;&gt; T30102 | TRISCAN &gt;&gt; 815018129 | NK &gt;&gt; 853512 | BRECO &gt;&gt; T30102 | MALO &gt;&gt; 80536 | SAMKO &gt;&gt; 6T48196</t>
  </si>
  <si>
    <t>Thread Measurement 2 &gt;&gt; o 10 | Thread Measurement 1 &gt;&gt; F10X1 | Length [mm] &gt;&gt; 640 | for article number &gt;&gt; 6T48199</t>
  </si>
  <si>
    <t>MAZDA &gt;&gt; GJ6A43980B | BREMBO &gt;&gt; T49054 | TRISCAN &gt;&gt; 815050224 | NK &gt;&gt; 853258 | BRECO &gt;&gt; T49054 | MALO &gt;&gt; 80540 | SAMKO &gt;&gt; 6T48199</t>
  </si>
  <si>
    <t>Length [mm] &gt;&gt; 640 | for article number &gt;&gt; 6T48200 | Thread Measurement 1 &gt;&gt; F10X1 | Thread Measurement 2 &gt;&gt; o 10</t>
  </si>
  <si>
    <t>MAZDA &gt;&gt; GJ6A43990B | BREMBO &gt;&gt; T49055 | TRISCAN &gt;&gt; 815050226 | NK &gt;&gt; 853257 | BRECO &gt;&gt; T49055 | MALO &gt;&gt; 80541 | SAMKO &gt;&gt; 6T48200</t>
  </si>
  <si>
    <t>Thread Measurement 1 &gt;&gt; F10X1 | Thread Measurement 2 &gt;&gt; o 10 | Length [mm] &gt;&gt; 640 | for article number &gt;&gt; 6T48201</t>
  </si>
  <si>
    <t>MAZDA &gt;&gt; GJ6A43980C | BREMBO &gt;&gt; T49056 | TRISCAN &gt;&gt; 815050225 | NK &gt;&gt; 853260 | BRECO &gt;&gt; T49056 | MALO &gt;&gt; 80542 | SAMKO &gt;&gt; 6T48201</t>
  </si>
  <si>
    <t>Length [mm] &gt;&gt; 425 | for article number &gt;&gt; 6T48229 | Thread Measurement 1 &gt;&gt; F10X1 | Thread Measurement 2 &gt;&gt; o 10</t>
  </si>
  <si>
    <t>NISSAN &gt;&gt; 462102J008 | PAGID &gt;&gt; 70812 | FTE &gt;&gt; 410E865E14 | QUINTON HAZELL &gt;&gt; BFH5175 | BREMBO &gt;&gt; T56152 | DELPHI &gt;&gt; LH6219 | TRISCAN &gt;&gt; 815014177 | NK &gt;&gt; 8522104 | CORTECO &gt;&gt; 19032237 | CEF &gt;&gt; 512096 | TRW &gt;&gt; PHD655 | BRECO &gt;&gt; T56152 | MALO &gt;&gt; 80576 | SAMKO &gt;&gt; 6T48229</t>
  </si>
  <si>
    <t>Length [mm] &gt;&gt; 330 | for article number &gt;&gt; 6T48231 | Thread Measurement 1 &gt;&gt; F10X1 | Thread Measurement 2 &gt;&gt; o 10</t>
  </si>
  <si>
    <t>OPEL &gt;&gt; 5562245 | VAUXHALL &gt;&gt; 13131296 | VAUXHALL &gt;&gt; 5562245 | ATE &gt;&gt; 24525003133 | PAGID &gt;&gt; 70663 | BOSCH &gt;&gt; 1987476394 | FTE &gt;&gt; 314E865E11 | QUINTON HAZELL &gt;&gt; BFH5760 | BREMBO &gt;&gt; T59077 | DELPHI &gt;&gt; LH6418 | TRISCAN &gt;&gt; 815024132 | NK &gt;&gt; 853679 | CEF &gt;&gt; 512283 | TRW &gt;&gt; PHD672 | BRECO &gt;&gt; T59077 | MALO &gt;&gt; 80584 | SAMKO &gt;&gt; 6T48231</t>
  </si>
  <si>
    <t>Thread Measurement 1 &gt;&gt; M10X1 | Thread Measurement 2 &gt;&gt; o 10 | Length [mm] &gt;&gt; 520 | for article number &gt;&gt; 6T48243</t>
  </si>
  <si>
    <t>SUZUKI &gt;&gt; 5155062J00000 | BREMBO &gt;&gt; T79036 | BRECO &gt;&gt; T79036 | MALO &gt;&gt; 80603 | SAMKO &gt;&gt; 6T48243</t>
  </si>
  <si>
    <t>Thread Measurement 2 &gt;&gt; o 10 | Length [mm] &gt;&gt; 235 | for article number &gt;&gt; 6T48259 | Thread Measurement 1 &gt;&gt; F10X1</t>
  </si>
  <si>
    <t>TOYOTA &gt;&gt; 9094702F16 | TOYOTA &gt;&gt; 9094702D80 | ATE &gt;&gt; 24526402053 | BREMBO &gt;&gt; T83135 | TRISCAN &gt;&gt; 815013310 | NK &gt;&gt; 8545159 | CORTECO &gt;&gt; 19035887 | BRECO &gt;&gt; T83135 | MALO &gt;&gt; 80621 | SAMKO &gt;&gt; 6T48259</t>
  </si>
  <si>
    <t>Thread Measurement 2 &gt;&gt; o 10 | Thread Measurement 1 &gt;&gt; F10X1 | for article number &gt;&gt; 6T48266 | Length [mm] &gt;&gt; 715</t>
  </si>
  <si>
    <t>HYUNDAI &gt;&gt; 587323D000 | BREMBO &gt;&gt; T30083 | DELPHI &gt;&gt; LH6637 | TRISCAN &gt;&gt; 815043118 | NK &gt;&gt; 853462 | TRW &gt;&gt; PHD1101 | BRECO &gt;&gt; T30083 | MALO &gt;&gt; 80629 | SAMKO &gt;&gt; 6T48266</t>
  </si>
  <si>
    <t>Length [mm] &gt;&gt; 715 | for article number &gt;&gt; 6T48267 | Thread Measurement 1 &gt;&gt; F10X1 | Thread Measurement 2 &gt;&gt; o 10</t>
  </si>
  <si>
    <t>HYUNDAI &gt;&gt; 587313D000 | BREMBO &gt;&gt; T30084 | TRISCAN &gt;&gt; 815043117 | NK &gt;&gt; 853461 | TRW &gt;&gt; PHD1103 | BRECO &gt;&gt; T30084 | MALO &gt;&gt; 80630 | SAMKO &gt;&gt; 6T48267</t>
  </si>
  <si>
    <t>Length [mm] &gt;&gt; 265 | for article number &gt;&gt; 6T48298 | Thread Measurement 1 &gt;&gt; F10X1 | Thread Measurement 2 &gt;&gt; o 10</t>
  </si>
  <si>
    <t>TOYOTA &gt;&gt; 90947W2011 | TRISCAN &gt;&gt; 815013338 | MALO &gt;&gt; 80944 | SAMKO &gt;&gt; 6T48298</t>
  </si>
  <si>
    <t>for article number &gt;&gt; 6T48299 | Thread Measurement 1 &gt;&gt; F10X1 | Length [mm] &gt;&gt; 220 | Thread Measurement 2 &gt;&gt; o 10</t>
  </si>
  <si>
    <t>NISSAN &gt;&gt; 46210EM01E | DELPHI &gt;&gt; LH6832 | TRISCAN &gt;&gt; 8150142119 | MALO &gt;&gt; 80817 | SAMKO &gt;&gt; 6T48299</t>
  </si>
  <si>
    <t>Length [mm] &gt;&gt; 225 | for article number &gt;&gt; 6T48300 | Thread Measurement 1 &gt;&gt; F10X1 | Thread Measurement 2 &gt;&gt; o 10</t>
  </si>
  <si>
    <t>NISSAN &gt;&gt; 46210EM01D | DELPHI &gt;&gt; LH6831 | TRISCAN &gt;&gt; 815014269 | MALO &gt;&gt; 80818 | SAMKO &gt;&gt; 6T48300 | BLUE PRINT &gt;&gt; ADN153250</t>
  </si>
  <si>
    <t>Thread Measurement 2 &gt;&gt; o 10 | for article number &gt;&gt; 6T48303 | Thread Measurement 1 &gt;&gt; F10X1</t>
  </si>
  <si>
    <t>NISSAN &gt;&gt; 462101KA0C | TRISCAN &gt;&gt; 815014298 | MALO &gt;&gt; 80933 | SAMKO &gt;&gt; 6T48303</t>
  </si>
  <si>
    <t>Thread Measurement 2 &gt;&gt; o 10 | Thread Measurement 1 &gt;&gt; F10X1 | Length [mm] &gt;&gt; 210 | for article number &gt;&gt; 6T48304</t>
  </si>
  <si>
    <t>NISSAN &gt;&gt; 462101KA0B | TRISCAN &gt;&gt; 815014299 | MALO &gt;&gt; 80934 | SAMKO &gt;&gt; 6T48304</t>
  </si>
  <si>
    <t>Thread Measurement 2 &gt;&gt; F10X1 | Length [mm] &gt;&gt; 300 | for article number &gt;&gt; 6T48305 | Thread Measurement 1 &gt;&gt; F10X1</t>
  </si>
  <si>
    <t>NISSAN &gt;&gt; 462101HJ5B | TRISCAN &gt;&gt; 815014303 | MALO &gt;&gt; 80937 | SAMKO &gt;&gt; 6T48305</t>
  </si>
  <si>
    <t>for article number &gt;&gt; 6T48308 | Thread Measurement 1 &gt;&gt; F10X1 | Length [mm] &gt;&gt; 235 | Thread Measurement 2 &gt;&gt; F10X1</t>
  </si>
  <si>
    <t>CHEVROLET &gt;&gt; 96682952 | TRISCAN &gt;&gt; 815021302 | MALO &gt;&gt; 80731 | SAMKO &gt;&gt; 6T48308</t>
  </si>
  <si>
    <t>Length [mm] &gt;&gt; 330 | for article number &gt;&gt; 6T48309 | Thread Measurement 1 &gt;&gt; F10X1 | Thread Measurement 2 &gt;&gt; F10X1</t>
  </si>
  <si>
    <t>OPEL &gt;&gt; 4709848 | TRISCAN &gt;&gt; 815024241 | MALO &gt;&gt; 80827 | SAMKO &gt;&gt; 6T48309</t>
  </si>
  <si>
    <t>for article number &gt;&gt; 6T48310 | Thread Measurement 1 &gt;&gt; F10X1 | Length [mm] &gt;&gt; 510 | Thread Measurement 2 &gt;&gt; o 10</t>
  </si>
  <si>
    <t>HONDA &gt;&gt; 01465SMGE00 | ATE &gt;&gt; 24526805103 | TRISCAN &gt;&gt; 815040141 | CORTECO &gt;&gt; 19035730 | MALO &gt;&gt; 80972 | SAMKO &gt;&gt; 6T48310</t>
  </si>
  <si>
    <t>Length [mm] &gt;&gt; 565 | for article number &gt;&gt; 6T48311 | Thread Measurement 1 &gt;&gt; F10X1 | Thread Measurement 2 &gt;&gt; o 10</t>
  </si>
  <si>
    <t>HONDA &gt;&gt; 01464SMGE00 | ATE &gt;&gt; 24526805113 | TRISCAN &gt;&gt; 815040142 | CORTECO &gt;&gt; 19035731 | MALO &gt;&gt; 80973 | SAMKO &gt;&gt; 6T48311</t>
  </si>
  <si>
    <t>Thread Measurement 2 &gt;&gt; o 10 | Thread Measurement 1 &gt;&gt; F10X1 | Length [mm] &gt;&gt; 265 | for article number &gt;&gt; 6T48313</t>
  </si>
  <si>
    <t>TOYOTA &gt;&gt; 9094702E11 | DELPHI &gt;&gt; LH6730 | TRISCAN &gt;&gt; 815013296 | MALO &gt;&gt; 80891 | SAMKO &gt;&gt; 6T48313</t>
  </si>
  <si>
    <t>Length [mm] &gt;&gt; 535 | for article number &gt;&gt; 6T48318 | Thread Measurement 1 &gt;&gt; F10X1 | Thread Measurement 2 &gt;&gt; M10x1</t>
  </si>
  <si>
    <t>AUDI &gt;&gt; 8R0611707A | AUDI &gt;&gt; 8R0611707B | ATE &gt;&gt; 83771304833 | TRISCAN &gt;&gt; 815029300 | CORTECO &gt;&gt; 19036610 | MALO &gt;&gt; 80654 | SAMKO &gt;&gt; 6T48318</t>
  </si>
  <si>
    <t>Thread Measurement 2 &gt;&gt; M10x1 | Thread Measurement 1 &gt;&gt; F10X1 | for article number &gt;&gt; 6T48333 | Length [mm] &gt;&gt; 740</t>
  </si>
  <si>
    <t>BMW &gt;&gt; 34306787512 | MINI &gt;&gt; 34306787512 | TRISCAN &gt;&gt; 815011235 | MALO &gt;&gt; 80950 | SAMKO &gt;&gt; 6T48333</t>
  </si>
  <si>
    <t>for article number &gt;&gt; 6T48346 | Thread Measurement 1 &gt;&gt; F10X1 | Length [mm] &gt;&gt; 515 | Thread Measurement 2 &gt;&gt; M10x1</t>
  </si>
  <si>
    <t>MERCEDES-BENZ &gt;&gt; 2044200748 | TRISCAN &gt;&gt; 815023129 | MALO &gt;&gt; 80809 | SAMKO &gt;&gt; 6T48346</t>
  </si>
  <si>
    <t>Length [mm] &gt;&gt; 430 | for article number &gt;&gt; 6T48347 | Thread Measurement 1 &gt;&gt; F10X1 | Thread Measurement 2 &gt;&gt; M10x1</t>
  </si>
  <si>
    <t>MERCEDES-BENZ &gt;&gt; 2124280035 | TRISCAN &gt;&gt; 815023123 | MALO &gt;&gt; 80807 | SAMKO &gt;&gt; 6T48347</t>
  </si>
  <si>
    <t>Thread Measurement 2 &gt;&gt; M10x1 | Length [mm] &gt;&gt; 380 | for article number &gt;&gt; 6T48348 | Thread Measurement 1 &gt;&gt; F10X1</t>
  </si>
  <si>
    <t>MERCEDES-BENZ &gt;&gt; 2124200448 | TRISCAN &gt;&gt; 815023219 | MALO &gt;&gt; 80808 | SAMKO &gt;&gt; 6T48348</t>
  </si>
  <si>
    <t>Thread Measurement 2 &gt;&gt; o 10 | Length [mm] &gt;&gt; 430 | for article number &gt;&gt; 6T48364 | Thread Measurement 1 &gt;&gt; F10X1</t>
  </si>
  <si>
    <t>DAIHATSU &gt;&gt; 9004922200 | TRISCAN &gt;&gt; 815041106 | MALO &gt;&gt; 80956 | SAMKO &gt;&gt; 6T48364</t>
  </si>
  <si>
    <t>Thread Measurement 1 &gt;&gt; F10X1 | Thread Measurement 2 &gt;&gt; o 10 | Length [mm] &gt;&gt; 430 | for article number &gt;&gt; 6T48365</t>
  </si>
  <si>
    <t>DAIHATSU &gt;&gt; 9004922201 | TRISCAN &gt;&gt; 815041105 | MALO &gt;&gt; 80957 | SAMKO &gt;&gt; 6T48365</t>
  </si>
  <si>
    <t>Thread Measurement 2 &gt;&gt; F10X1 | Thread Measurement 1 &gt;&gt; F10X1 | Length [mm] &gt;&gt; 305 | for article number &gt;&gt; 6T48368</t>
  </si>
  <si>
    <t>DAIHATSU &gt;&gt; 9004922281 | TRISCAN &gt;&gt; 815041212 | MALO &gt;&gt; 80961 | SAMKO &gt;&gt; 6T48368 | BLUE PRINT &gt;&gt; ADD65358</t>
  </si>
  <si>
    <t>Thread Measurement 2 &gt;&gt; F10X1 | Thread Measurement 1 &gt;&gt; F10X1 | for article number &gt;&gt; 6T48370 | Length [mm] &gt;&gt; 360</t>
  </si>
  <si>
    <t>HONDA &gt;&gt; 01468SAA000 | ATE &gt;&gt; 24529703323 | PAGID &gt;&gt; 71021 | BOSCH &gt;&gt; 1987476210 | BENDIX &gt;&gt; 172960B | DELPHI &gt;&gt; LH6492 | NK &gt;&gt; 852671 | CEF &gt;&gt; 512519 | TRW &gt;&gt; PHA505 | MALO &gt;&gt; 80978 | SAMKO &gt;&gt; 6T48370</t>
  </si>
  <si>
    <t>Thread Measurement 2 &gt;&gt; o 10 | Thread Measurement 1 &gt;&gt; F10X1 | for article number &gt;&gt; 6T48374 | Length [mm] &gt;&gt; 510</t>
  </si>
  <si>
    <t>HONDA &gt;&gt; 01465TL1G00 | TRISCAN &gt;&gt; 815040139 | MALO &gt;&gt; 80762 | SAMKO &gt;&gt; 6T48374 | BLUE PRINT &gt;&gt; ADH253202</t>
  </si>
  <si>
    <t>Length [mm] &gt;&gt; 505 | for article number &gt;&gt; 6T48375 | Thread Measurement 1 &gt;&gt; F10X1 | Thread Measurement 2 &gt;&gt; o 10</t>
  </si>
  <si>
    <t>HONDA &gt;&gt; 01464TL1G00 | TRISCAN &gt;&gt; 815040140 | MALO &gt;&gt; 80763 | SAMKO &gt;&gt; 6T48375 | BLUE PRINT &gt;&gt; ADH253203</t>
  </si>
  <si>
    <t>Length [mm] &gt;&gt; 458 | for article number &gt;&gt; 6T48381 | Thread Measurement 1 &gt;&gt; F10X1 | Thread Measurement 2 &gt;&gt; o 10</t>
  </si>
  <si>
    <t>HONDA &gt;&gt; 01466SJF010 | PAGID &gt;&gt; 71022 | BOSCH &gt;&gt; 1987481325 | BENDIX &gt;&gt; 172911B | DELPHI &gt;&gt; LH6636 | TRISCAN &gt;&gt; 815040170 | CORTECO &gt;&gt; 19035117 | CEF &gt;&gt; 512569 | TRW &gt;&gt; PHD1066 | MALO &gt;&gt; 80769 | SAMKO &gt;&gt; 6T48381 | BLUE PRINT &gt;&gt; ADH253152</t>
  </si>
  <si>
    <t>for article number &gt;&gt; 6T48390 | Thread Measurement 1 &gt;&gt; F10X1 | Thread Measurement 2 &gt;&gt; o 10 | Length [mm] &gt;&gt; 355</t>
  </si>
  <si>
    <t>MAZDA &gt;&gt; LE4443810B | MAZDA &gt;&gt; LE4443810C | TRISCAN &gt;&gt; 815050251 | NK &gt;&gt; 853252 | MALO &gt;&gt; 80555 | SAMKO &gt;&gt; 6T48390 | BLUE PRINT &gt;&gt; ADM553103</t>
  </si>
  <si>
    <t>Thread Measurement 2 &gt;&gt; o 10 | Length [mm] &gt;&gt; 355 | for article number &gt;&gt; 6T48391 | Thread Measurement 1 &gt;&gt; F10X1</t>
  </si>
  <si>
    <t>MAZDA &gt;&gt; LE4443820B | MAZDA &gt;&gt; LE4443820C | TRISCAN &gt;&gt; 815050250 | NK &gt;&gt; 853251 | MALO &gt;&gt; 80556 | SAMKO &gt;&gt; 6T48391 | BLUE PRINT &gt;&gt; ADM553102</t>
  </si>
  <si>
    <t>Thread Measurement 2 &gt;&gt; o 10 | Thread Measurement 1 &gt;&gt; F10X1 | Length [mm] &gt;&gt; 405 | for article number &gt;&gt; 6T48392</t>
  </si>
  <si>
    <t>MAZDA &gt;&gt; D65143990 | ATE &gt;&gt; 24526503653 | TRISCAN &gt;&gt; 815050117 | NK &gt;&gt; 853273 | CORTECO &gt;&gt; 19036372 | MALO &gt;&gt; 80799 | SAMKO &gt;&gt; 6T48392 | BLUE PRINT &gt;&gt; ADM553121</t>
  </si>
  <si>
    <t>Thread Measurement 2 &gt;&gt; o 10 | Length [mm] &gt;&gt; 405 | for article number &gt;&gt; 6T48393 | Thread Measurement 1 &gt;&gt; F10X1</t>
  </si>
  <si>
    <t>MAZDA &gt;&gt; D65143980 | ATE &gt;&gt; 24526503663 | TRISCAN &gt;&gt; 815050118 | NK &gt;&gt; 853274 | CORTECO &gt;&gt; 19036373 | MALO &gt;&gt; 80800 | SAMKO &gt;&gt; 6T48393 | BLUE PRINT &gt;&gt; ADM553122</t>
  </si>
  <si>
    <t>for article number &gt;&gt; 6T48396</t>
  </si>
  <si>
    <t>MAZDA &gt;&gt; EG2343980A | MAZDA &gt;&gt; EG2343980B | TRISCAN &gt;&gt; 815050124 | MALO &gt;&gt; 80900 | SAMKO &gt;&gt; 6T48396</t>
  </si>
  <si>
    <t>for article number &gt;&gt; 6T48397</t>
  </si>
  <si>
    <t>MAZDA &gt;&gt; EG2343810B | TRISCAN &gt;&gt; 815050246 | MALO &gt;&gt; 80901 | SAMKO &gt;&gt; 6T48397</t>
  </si>
  <si>
    <t>Thread Measurement 2 &gt;&gt; o 10 | Thread Measurement 1 &gt;&gt; F10X1 | Length [mm] &gt;&gt; 641 | for article number &gt;&gt; 6T48404</t>
  </si>
  <si>
    <t>MITSUBISHI &gt;&gt; 4650A645 | TRISCAN &gt;&gt; 815042126 | MALO &gt;&gt; 80812 | SAMKO &gt;&gt; 6T48404 | BLUE PRINT &gt;&gt; ADC453107</t>
  </si>
  <si>
    <t>Length [mm] &gt;&gt; 641 | for article number &gt;&gt; 6T48405 | Thread Measurement 1 &gt;&gt; F10X1 | Thread Measurement 2 &gt;&gt; o 10</t>
  </si>
  <si>
    <t>MITSUBISHI &gt;&gt; 4650A646 | TRISCAN &gt;&gt; 815042127 | MALO &gt;&gt; 80813 | SAMKO &gt;&gt; 6T48405 | BLUE PRINT &gt;&gt; ADC453108</t>
  </si>
  <si>
    <t>Thread Measurement 2 &gt;&gt; o 10 | Length [mm] &gt;&gt; 247 | for article number &gt;&gt; 6T48406 | Thread Measurement 1 &gt;&gt; F10X1</t>
  </si>
  <si>
    <t>MITSUBISHI &gt;&gt; 4650A083 | MITSUBISHI &gt;&gt; MN116361 | MITSUBISHI &gt;&gt; 4650B627 | TRISCAN &gt;&gt; 815042257 | MALO &gt;&gt; 80814 | SAMKO &gt;&gt; 6T48406 | BLUE PRINT &gt;&gt; ADC45399</t>
  </si>
  <si>
    <t>Thread Measurement 2 &gt;&gt; o 10 | Thread Measurement 1 &gt;&gt; F10X1 | Length [mm] &gt;&gt; 482 | for article number &gt;&gt; 6T48407</t>
  </si>
  <si>
    <t>TOYOTA &gt;&gt; 9008094161 | DELPHI &gt;&gt; LH6779 | CORTECO &gt;&gt; 19033061 | SAMKO &gt;&gt; 6T48407 | BLUE PRINT &gt;&gt; ADT353214</t>
  </si>
  <si>
    <t>Thread Measurement 2 &gt;&gt; o 10 | Length [mm] &gt;&gt; 482 | for article number &gt;&gt; 6T48408 | Thread Measurement 1 &gt;&gt; F10X1</t>
  </si>
  <si>
    <t>TOYOTA &gt;&gt; 9008094162 | DELPHI &gt;&gt; LH6778 | TRISCAN &gt;&gt; 815013434 | CORTECO &gt;&gt; 19033060 | SAMKO &gt;&gt; 6T48408 | BLUE PRINT &gt;&gt; ADT353213</t>
  </si>
  <si>
    <t>for article number &gt;&gt; 6T48416 | Thread Measurement 1 &gt;&gt; F10X1 | Thread Measurement 2 &gt;&gt; o 10 | Length [mm] &gt;&gt; 265</t>
  </si>
  <si>
    <t>TOYOTA &gt;&gt; 9094702D32 | TOYOTA &gt;&gt; 9094702F24 | TRISCAN &gt;&gt; 815013259 | MALO &gt;&gt; 80700 | SAMKO &gt;&gt; 6T48416 | BLUE PRINT &gt;&gt; ADT353314</t>
  </si>
  <si>
    <t>for article number &gt;&gt; 6T48417</t>
  </si>
  <si>
    <t>TOYOTA &gt;&gt; 9094702F43 | MALO &gt;&gt; 80704 | SAMKO &gt;&gt; 6T48417 | BLUE PRINT &gt;&gt; ADT353398</t>
  </si>
  <si>
    <t>for article number &gt;&gt; 6T48418</t>
  </si>
  <si>
    <t>TOYOTA &gt;&gt; 9094702F42 | MALO &gt;&gt; 80705 | SAMKO &gt;&gt; 6T48418 | BLUE PRINT &gt;&gt; ADT353399</t>
  </si>
  <si>
    <t>for article number &gt;&gt; 6T48420</t>
  </si>
  <si>
    <t>TOYOTA &gt;&gt; 9094702G16 | TRISCAN &gt;&gt; 815013328 | MALO &gt;&gt; 80702 | SAMKO &gt;&gt; 6T48420</t>
  </si>
  <si>
    <t>for article number &gt;&gt; 6T48421</t>
  </si>
  <si>
    <t>TOYOTA &gt;&gt; 9094702G15 | TRISCAN &gt;&gt; 815013327 | MALO &gt;&gt; 80703 | SAMKO &gt;&gt; 6T48421</t>
  </si>
  <si>
    <t>Length [mm] &gt;&gt; 670 | for article number &gt;&gt; 6T48422 | Thread Measurement 1 &gt;&gt; F10X1 | Thread Measurement 2 &gt;&gt; o 10</t>
  </si>
  <si>
    <t>TOYOTA &gt;&gt; 9094702E34 | TRISCAN &gt;&gt; 815013307 | MALO &gt;&gt; 80878 | SAMKO &gt;&gt; 6T48422 | BLUE PRINT &gt;&gt; ADT353271</t>
  </si>
  <si>
    <t>Length [mm] &gt;&gt; 670 | for article number &gt;&gt; 6T48423 | Thread Measurement 1 &gt;&gt; F10X1 | Thread Measurement 2 &gt;&gt; o 10</t>
  </si>
  <si>
    <t>TOYOTA &gt;&gt; 9094702E33 | TRISCAN &gt;&gt; 815013304 | MALO &gt;&gt; 80879 | SAMKO &gt;&gt; 6T48423 | BLUE PRINT &gt;&gt; ADT353272</t>
  </si>
  <si>
    <t>Length [mm] &gt;&gt; 215 | Thread Measurement 2 &gt;&gt; o 10 | for article number &gt;&gt; 6T48424 | Thread Measurement 1 &gt;&gt; F10X1</t>
  </si>
  <si>
    <t>TOYOTA &gt;&gt; 90947W2016 | ATE &gt;&gt; 24526201803 | TRISCAN &gt;&gt; 815013343 | NK &gt;&gt; 8545184 | MALO &gt;&gt; 80880 | SAMKO &gt;&gt; 6T48424 | BLUE PRINT &gt;&gt; ADT353369</t>
  </si>
  <si>
    <t>Length [mm] &gt;&gt; 195 | for article number &gt;&gt; 6T48425 | Thread Measurement 1 &gt;&gt; F10X1 | Thread Measurement 2 &gt;&gt; F10X1</t>
  </si>
  <si>
    <t>TOYOTA &gt;&gt; 90947W2014 | TOYOTA &gt;&gt; 90947W2026 | TRISCAN &gt;&gt; 815013340 | NK &gt;&gt; 8545187 | MALO &gt;&gt; 80881 | SAMKO &gt;&gt; 6T48425 | BLUE PRINT &gt;&gt; ADT353367</t>
  </si>
  <si>
    <t>Thread Measurement 1 &gt;&gt; F10X1 | Thread Measurement 2 &gt;&gt; o 10 | Length [mm] &gt;&gt; 685 | for article number &gt;&gt; 6T48429</t>
  </si>
  <si>
    <t>TOYOTA &gt;&gt; 90947W2023 | TRISCAN &gt;&gt; 815013347 | NK &gt;&gt; 8545176 | MALO &gt;&gt; 80883 | SAMKO &gt;&gt; 6T48429 | BLUE PRINT &gt;&gt; ADT353391</t>
  </si>
  <si>
    <t>for article number &gt;&gt; 6T48431 | Thread Measurement 1 &gt;&gt; F10X1 | Length [mm] &gt;&gt; 685 | Thread Measurement 2 &gt;&gt; o 10</t>
  </si>
  <si>
    <t>TOYOTA &gt;&gt; 90947W2022 | TRISCAN &gt;&gt; 815013346 | NK &gt;&gt; 8545175 | MALO &gt;&gt; 80884 | SAMKO &gt;&gt; 6T48431</t>
  </si>
  <si>
    <t>Length [mm] &gt;&gt; 735 | for article number &gt;&gt; 6T48432 | Thread Measurement 1 &gt;&gt; F10X1 | Thread Measurement 2 &gt;&gt; o 10</t>
  </si>
  <si>
    <t>TOYOTA &gt;&gt; 9094702F84 | DELPHI &gt;&gt; LH6807 | TRISCAN &gt;&gt; 815013319 | MALO &gt;&gt; 80886 | SAMKO &gt;&gt; 6T48432</t>
  </si>
  <si>
    <t>Thread Measurement 2 &gt;&gt; o 10 | Length [mm] &gt;&gt; 735 | for article number &gt;&gt; 6T48433 | Thread Measurement 1 &gt;&gt; F10X1</t>
  </si>
  <si>
    <t>TOYOTA &gt;&gt; 9094702F83 | DELPHI &gt;&gt; LH6808 | TRISCAN &gt;&gt; 815013318 | MALO &gt;&gt; 80887 | SAMKO &gt;&gt; 6T48433</t>
  </si>
  <si>
    <t>Length [mm] &gt;&gt; 230 | for article number &gt;&gt; 6T48434 | Thread Measurement 1 &gt;&gt; F10X1 | Thread Measurement 2 &gt;&gt; o 10</t>
  </si>
  <si>
    <t>TOYOTA &gt;&gt; 9094702F87 | DELPHI &gt;&gt; LH6842 | TRISCAN &gt;&gt; 815013322 | MALO &gt;&gt; 80888 | SAMKO &gt;&gt; 6T48434</t>
  </si>
  <si>
    <t>for article number &gt;&gt; 6T48436</t>
  </si>
  <si>
    <t>SUBARU &gt;&gt; 26541FG000 | TRISCAN &gt;&gt; 815068221 | MALO &gt;&gt; 80857 | SAMKO &gt;&gt; 6T48436</t>
  </si>
  <si>
    <t>Length [mm] &gt;&gt; 496 | for article number &gt;&gt; 6T48437 | Thread Measurement 1 &gt;&gt; F10X1 | Thread Measurement 2 &gt;&gt; o 10</t>
  </si>
  <si>
    <t>SUBARU &gt;&gt; 26541FG010 | TRISCAN &gt;&gt; 815068220 | MALO &gt;&gt; 80856 | SAMKO &gt;&gt; 6T48437 | BLUE PRINT &gt;&gt; ADS75359</t>
  </si>
  <si>
    <t>Length [mm] &gt;&gt; 520 | for article number &gt;&gt; 6T48439 | Thread Measurement 1 &gt;&gt; F10X1 | Thread Measurement 2 &gt;&gt; o 10</t>
  </si>
  <si>
    <t>SUBARU &gt;&gt; 26591AJ070 | TRISCAN &gt;&gt; 815068232 | MALO &gt;&gt; 80860 | SAMKO &gt;&gt; 6T48439</t>
  </si>
  <si>
    <t>Minimum Thickness [mm] &gt;&gt; 20,4 | for article number &gt;&gt; B2047V | Centering Diameter [mm] &gt;&gt; 75 | Number of Holes &gt;&gt; 5 | Brake Disc Type &gt;&gt; Internally Vented | Diameter [mm] &gt;&gt; 324 | Height [mm] &gt;&gt; 77,3 | Brake Disc Thickness [mm] &gt;&gt; 22</t>
  </si>
  <si>
    <t>BMW &gt;&gt; 34216778649 | ATE &gt;&gt; 24012202571 | BOSCH &gt;&gt; 0986479569 | FERODO &gt;&gt; DDF1812 | ZIMMERMANN &gt;&gt; 150346420 | ROADHOUSE &gt;&gt; 6149410 | REMSA &gt;&gt; 6149410 | CAR &gt;&gt; 1421445 | PILENGA &gt;&gt; V721 | SAMKO &gt;&gt; B2047V</t>
  </si>
  <si>
    <t>Brake Disc Thickness [mm] &gt;&gt; 24 | for article number &gt;&gt; B2048V | Centering Diameter [mm] &gt;&gt; 75 | Minimum Thickness [mm] &gt;&gt; 22,4 | Brake Disc Type &gt;&gt; Internally Vented | Height [mm] &gt;&gt; 63 | Diameter [mm] &gt;&gt; 345 | Number of Holes &gt;&gt; 5</t>
  </si>
  <si>
    <t>BMW &gt;&gt; 34216763827 | ATE &gt;&gt; 24012402012 | PAGID &gt;&gt; 54825PRO | BOSCH &gt;&gt; 0986479585 | TEXTAR &gt;&gt; 92123203 | CAR &gt;&gt; 1421075 | SAMKO &gt;&gt; B2048V</t>
  </si>
  <si>
    <t>Minimum Thickness [mm] &gt;&gt; 22,4 | for article number &gt;&gt; B2049V | Centering Diameter [mm] &gt;&gt; 79 | Number of Holes &gt;&gt; 5 | Brake Disc Type &gt;&gt; Internally Vented | Height [mm] &gt;&gt; 73,7 | Diameter [mm] &gt;&gt; 312 | Brake Disc Thickness [mm] &gt;&gt; 24</t>
  </si>
  <si>
    <t>BMW &gt;&gt; 34116792219 | BMW &gt;&gt; 34116774875 | BMW &gt;&gt; 34116855006 | ATE &gt;&gt; 24012402031 | PAGID &gt;&gt; 54761PRO | BOSCH &gt;&gt; 0986479381 | TEXTAR &gt;&gt; 92176103 | FTE &gt;&gt; BS7234 | FERODO &gt;&gt; DDF1717 | MINTEX &gt;&gt; MDC1912 | DELPHI &gt;&gt; BG4172 | METELLI &gt;&gt; 230986C | METELLI &gt;&gt; 230986 | ROADHOUSE &gt;&gt; 6119410 | REMSA &gt;&gt; 6119410 | TRUSTING &gt;&gt; DF1276 | TRW &gt;&gt; DF4807S | CAR &gt;&gt; 1421523 | PILENGA &gt;&gt; V464 | fri.tech. &gt;&gt; DF1276 | sbs &gt;&gt; 1815201582 | CIFAM &gt;&gt; 800986C | CIFAM &gt;&gt; 800986 | SAMKO &gt;&gt; B2049V</t>
  </si>
  <si>
    <t>Brake Disc Thickness [mm] &gt;&gt; 29,9 | for article number &gt;&gt; B2050V | Centering Diameter [mm] &gt;&gt; 75 | Minimum Thickness [mm] &gt;&gt; 28,4 | Brake Disc Type &gt;&gt; Internally Vented | Height [mm] &gt;&gt; 62,1 | Diameter [mm] &gt;&gt; 332 | Number of Holes &gt;&gt; 5</t>
  </si>
  <si>
    <t>BMW &gt;&gt; 34116793245 | BMW &gt;&gt; 34116771985 | ATE &gt;&gt; 24013002001 | PAGID &gt;&gt; 54608PRO | BOSCH &gt;&gt; 0986479624 | TEXTAR &gt;&gt; 34116771985 | QUINTON HAZELL &gt;&gt; BDC5807 | FERODO &gt;&gt; DDF1714 | BREMBO &gt;&gt; 09992311 | DELPHI &gt;&gt; BG9061 | ROADHOUSE &gt;&gt; 6130710 | REMSA &gt;&gt; 6130710 | TRUSTING &gt;&gt; DF1337 | TRW &gt;&gt; DF4852S | BRECO &gt;&gt; 09992311 | CAR &gt;&gt; 1421490 | PILENGA &gt;&gt; V715 | sbs &gt;&gt; 1815201588 | SAMKO &gt;&gt; B2050V</t>
  </si>
  <si>
    <t>Brake Disc Thickness [mm] &gt;&gt; 36 | Centering Diameter [mm] &gt;&gt; 75 | for article number &gt;&gt; B2052V | Minimum Thickness [mm] &gt;&gt; 34,4 | Height [mm] &gt;&gt; 62 | Diameter [mm] &gt;&gt; 365 | Number of Holes &gt;&gt; 5 | Brake Disc Type &gt;&gt; Internally Vented</t>
  </si>
  <si>
    <t>BMW &gt;&gt; 34116771982 | BMW &gt;&gt; 341116793243 | ATE &gt;&gt; 24013601091 | PAGID &gt;&gt; 54610PRO | BOSCH &gt;&gt; 0986479635 | TEXTAR &gt;&gt; 34116771982 | QUINTON HAZELL &gt;&gt; BDC5809 | FERODO &gt;&gt; DDF1746 | BREMBO &gt;&gt; 09992111 | DELPHI &gt;&gt; BG9092 | ROADHOUSE &gt;&gt; 6133310 | REMSA &gt;&gt; 6133310 | TRUSTING &gt;&gt; DF1339 | BRECO &gt;&gt; 09992111 | CAR &gt;&gt; 1421561 | PILENGA &gt;&gt; V725 | sbs &gt;&gt; 1815201589 | SAMKO &gt;&gt; B2052V</t>
  </si>
  <si>
    <t>Brake Disc Thickness [mm] &gt;&gt; 24 | for article number &gt;&gt; B2053V | Centering Diameter [mm] &gt;&gt; 75 | Minimum Thickness [mm] &gt;&gt; 22,4 | Brake Disc Type &gt;&gt; Internally Vented | Height [mm] &gt;&gt; 78,5 | Diameter [mm] &gt;&gt; 345 | Number of Holes &gt;&gt; 5</t>
  </si>
  <si>
    <t>BMW &gt;&gt; 34216793246 | BMW &gt;&gt; 34216771971 | ATE &gt;&gt; 24012402161 | PAGID &gt;&gt; 54612PRO | BOSCH &gt;&gt; 0986479443 | TEXTAR &gt;&gt; 34216771971 | QUINTON HAZELL &gt;&gt; BDC5811 | FERODO &gt;&gt; DDF1716 | BREMBO &gt;&gt; 09992411 | DELPHI &gt;&gt; BG9064 | ROADHOUSE &gt;&gt; 6133710 | REMSA &gt;&gt; 6133710 | TRUSTING &gt;&gt; DF1399 | TRW &gt;&gt; DF6070S | BRECO &gt;&gt; 09992411 | CAR &gt;&gt; 1421466 | PILENGA &gt;&gt; V719 | sbs &gt;&gt; 1815201590 | SAMKO &gt;&gt; B2053V</t>
  </si>
  <si>
    <t>Minimum Thickness [mm] &gt;&gt; 18,4 | for article number &gt;&gt; B2054V | Centering Diameter [mm] &gt;&gt; 75 | Brake Disc Thickness [mm] &gt;&gt; 20 | Brake Disc Type &gt;&gt; Internally Vented | Height [mm] &gt;&gt; 78,6 | Diameter [mm] &gt;&gt; 320 | Number of Holes &gt;&gt; 5</t>
  </si>
  <si>
    <t>BMW &gt;&gt; 34216771970 | BMW &gt;&gt; 34216793247 | ATE &gt;&gt; 24012002061 | PAGID &gt;&gt; 54611 | BOSCH &gt;&gt; 0986479442 | TEXTAR &gt;&gt; 92161103 | JURID &gt;&gt; 562521J | BENDIX &gt;&gt; 562521B | FTE &gt;&gt; BS7244 | QUINTON HAZELL &gt;&gt; BDC5810 | FERODO &gt;&gt; DDF1715 | BREMBO &gt;&gt; 09992511 | MINTEX &gt;&gt; MDC2186 | ZIMMERMANN &gt;&gt; 150345020 | DELPHI &gt;&gt; BG4168 | METELLI &gt;&gt; 231025C | ROADHOUSE &gt;&gt; 6128710 | REMSA &gt;&gt; 6128710 | TRUSTING &gt;&gt; DF1398 | TRW &gt;&gt; DF4854S | BRECO &gt;&gt; 09992511 | BRECO &gt;&gt; BV8729 | INTERBRAKE &gt;&gt; BM011V | CAR &gt;&gt; 1421465 | PILENGA &gt;&gt; V717 | sbs &gt;&gt; 1815201583 | CIFAM &gt;&gt; 8001025C | SAMKO &gt;&gt; B2054V | OPEN PARTS &gt;&gt; BDR246520</t>
  </si>
  <si>
    <t>for article number &gt;&gt; B2055V | Diameter [mm] &gt;&gt; 294 | Height [mm] &gt;&gt; 44 | Brake Disc Type &gt;&gt; Internally Vented | Brake Disc Thickness [mm] &gt;&gt; 22 | Minimum Thickness [mm] &gt;&gt; 20,4 | Number of Holes &gt;&gt; 4 | Centering Diameter [mm] &gt;&gt; 64</t>
  </si>
  <si>
    <t>MINI &gt;&gt; 34116777826 | PAGID &gt;&gt; 54967 | TEXTAR &gt;&gt; 92196703 | MINTEX &gt;&gt; MDC2235 | TRUSTING &gt;&gt; DF1369 | sbs &gt;&gt; 1815204038 | SAMKO &gt;&gt; B2055V</t>
  </si>
  <si>
    <t>Centering Diameter [mm] &gt;&gt; 75 | Number of Holes &gt;&gt; 5 | Minimum Thickness [mm] &gt;&gt; 8,4 | Brake Disc Thickness [mm] &gt;&gt; 10 | Brake Disc Type &gt;&gt; Solid | Diameter [mm] &gt;&gt; 280 | for article number &gt;&gt; B2056P | Height [mm] &gt;&gt; 75</t>
  </si>
  <si>
    <t>BMW &gt;&gt; 34216752545 | BMW &gt;&gt; 34216766225 | BMW &gt;&gt; 34216794306 | ATE &gt;&gt; 24011002871 | PAGID &gt;&gt; 54460 | BOSCH &gt;&gt; 0986479494 | TEXTAR &gt;&gt; 92146000 | FTE &gt;&gt; BS7183 | QUINTON HAZELL &gt;&gt; BDC5912 | FERODO &gt;&gt; DDF1284 | BREMBO &gt;&gt; 08985980 | MINTEX &gt;&gt; MDC1814 | ZIMMERMANN &gt;&gt; 150343520 | DELPHI &gt;&gt; BG3940 | METELLI &gt;&gt; 230951C | TRW &gt;&gt; DF6106 | BRECO &gt;&gt; BS7659 | BRECO &gt;&gt; 08985980 | CAR &gt;&gt; 1421328 | PILENGA &gt;&gt; 5138 | sbs &gt;&gt; 1815201586 | CIFAM &gt;&gt; 800951C | SAMKO &gt;&gt; B2056P</t>
  </si>
  <si>
    <t>Minimum Thickness [mm] &gt;&gt; 20,4 | for article number &gt;&gt; B2057V | Centering Diameter [mm] &gt;&gt; 79 | Number of Holes &gt;&gt; 5 | Brake Disc Type &gt;&gt; Internally Vented | Diameter [mm] &gt;&gt; 300 | Height [mm] &gt;&gt; 73 | Brake Disc Thickness [mm] &gt;&gt; 22</t>
  </si>
  <si>
    <t>BMW &gt;&gt; 34116792217 | ATE &gt;&gt; 24012202781 | PAGID &gt;&gt; 55385 | TEXTAR &gt;&gt; 92238503 | MINTEX &gt;&gt; MDC2351 | ZIMMERMANN &gt;&gt; 150349720 | TRW &gt;&gt; DF6143S | CAR &gt;&gt; 1421586 | PILENGA &gt;&gt; V499 | sbs &gt;&gt; 18152015101 | SAMKO &gt;&gt; B2057V</t>
  </si>
  <si>
    <t>Brake Disc Thickness [mm] &gt;&gt; 11 | for article number &gt;&gt; B2058P | Centering Diameter [mm] &gt;&gt; 75 | Minimum Thickness [mm] &gt;&gt; 9,4 | Brake Disc Type &gt;&gt; Solid | Height [mm] &gt;&gt; 66 | Diameter [mm] &gt;&gt; 290 | Number of Holes &gt;&gt; 5</t>
  </si>
  <si>
    <t>BMW &gt;&gt; 34216792225 | ATE &gt;&gt; 24011101751 | PAGID &gt;&gt; 55610 | PAGID &gt;&gt; 55610PRO | TEXTAR &gt;&gt; 92261003 | MINTEX &gt;&gt; MDC2557 | ZIMMERMANN &gt;&gt; 150349920 | ROADHOUSE &gt;&gt; 6145000 | REMSA &gt;&gt; 6145000 | TRW &gt;&gt; DF6137 | CAR &gt;&gt; 1421585 | PILENGA &gt;&gt; 5560 | sbs &gt;&gt; 18152015102 | SAMKO &gt;&gt; B2058P</t>
  </si>
  <si>
    <t>for article number &gt;&gt; B2059V | Centering Diameter [mm] &gt;&gt; 75 | Minimum Thickness [mm] &gt;&gt; 20,4 | Number of Holes &gt;&gt; 5 | Brake Disc Type &gt;&gt; Internally Vented | Diameter [mm] &gt;&gt; 324 | Height [mm] &gt;&gt; 67 | Brake Disc Thickness [mm] &gt;&gt; 22</t>
  </si>
  <si>
    <t>BMW &gt;&gt; 34216795755 | BMW &gt;&gt; 34216787931 | ZIMMERMANN &gt;&gt; 150347720 | TRUSTING &gt;&gt; DF1468 | sbs &gt;&gt; 18152015106 | SAMKO &gt;&gt; B2059V</t>
  </si>
  <si>
    <t>Brake Disc Thickness [mm] &gt;&gt; 20 | for article number &gt;&gt; B2060V | Centering Diameter [mm] &gt;&gt; 75 | Minimum Thickness [mm] &gt;&gt; 18,4 | Brake Disc Type &gt;&gt; Internally Vented | Height [mm] &gt;&gt; 66 | Diameter [mm] &gt;&gt; 300 | Number of Holes &gt;&gt; 5</t>
  </si>
  <si>
    <t>BMW &gt;&gt; 34216792229 | BMW &gt;&gt; 34216864900 | PAGID &gt;&gt; 55397 | PAGID &gt;&gt; 55397PRO | TEXTAR &gt;&gt; 92239703 | MINTEX &gt;&gt; MDC2356 | ZIMMERMANN &gt;&gt; 150290220 | ROADHOUSE &gt;&gt; 6145310 | REMSA &gt;&gt; 6145310 | TRW &gt;&gt; DF6513S | CAR &gt;&gt; 1421598 | PILENGA &gt;&gt; V006 | sbs &gt;&gt; 1815201597 | SAMKO &gt;&gt; B2060V</t>
  </si>
  <si>
    <t>Brake Disc Thickness [mm] &gt;&gt; 22 | Centering Diameter [mm] &gt;&gt; 74 | for article number &gt;&gt; B2061V | Minimum Thickness [mm] &gt;&gt; 21 | Height [mm] &gt;&gt; 78 | Diameter [mm] &gt;&gt; 280 | Number of Holes &gt;&gt; 5 | Brake Disc Type &gt;&gt; Internally Vented</t>
  </si>
  <si>
    <t>BMW &gt;&gt; 34111116940 | BMW &gt;&gt; 34111163129 | BMW &gt;&gt; 34111163130 | BMW &gt;&gt; 34111119563 | BMW &gt;&gt; 34111119564 | ATE &gt;&gt; 24012201111 | BOSCH &gt;&gt; 0986478041 | TEXTAR &gt;&gt; 92013800 | JURID &gt;&gt; 561176J | BENDIX &gt;&gt; 561176B | FTE &gt;&gt; BS3291 | QUINTON HAZELL &gt;&gt; BDC3291 | FERODO &gt;&gt; DDF166 | BREMBO &gt;&gt; 09394910 | ZIMMERMANN &gt;&gt; 150113700 | DELPHI &gt;&gt; BG2197 | METELLI &gt;&gt; 230060 | ROADHOUSE &gt;&gt; 629810 | REMSA &gt;&gt; 629810 | GRAF &gt;&gt; DF2860 | TRW &gt;&gt; DF1557 | BRECO &gt;&gt; BS7846 | BRECO &gt;&gt; 09394910 | INTERBRAKE &gt;&gt; BW061V | CAR &gt;&gt; 142120 | PILENGA &gt;&gt; V110 | CIFAM &gt;&gt; 800060 | SAMKO &gt;&gt; B2061V | URPA &gt;&gt; 101139</t>
  </si>
  <si>
    <t>Brake Disc Thickness [mm] &gt;&gt; 20 | for article number &gt;&gt; B2062V | Centering Diameter [mm] &gt;&gt; 75 | Minimum Thickness [mm] &gt;&gt; 18,4 | Brake Disc Type &gt;&gt; Internally Vented | Height [mm] &gt;&gt; 66 | Diameter [mm] &gt;&gt; 330 | Number of Holes &gt;&gt; 5</t>
  </si>
  <si>
    <t>BMW &gt;&gt; 34216792233 | PAGID &gt;&gt; 55419PRO | ZIMMERMANN &gt;&gt; 150290420 | sbs &gt;&gt; 1815201599 | SAMKO &gt;&gt; B2062V</t>
  </si>
  <si>
    <t>Brake Disc Type &gt;&gt; Internally Vented | Centering Diameter [mm] &gt;&gt; 64,1 | Number of Holes &gt;&gt; 4 | for article number &gt;&gt; B2063V | Height [mm] &gt;&gt; 44,2 | Diameter [mm] &gt;&gt; 294 | Brake Disc Thickness [mm] &gt;&gt; 22 | Minimum Thickness [mm] &gt;&gt; 20</t>
  </si>
  <si>
    <t>MINI &gt;&gt; 34116768933 | ATE &gt;&gt; 24012202441 | PAGID &gt;&gt; 54836PRO | TEXTAR &gt;&gt; 92183603 | BREMBO &gt;&gt; 09A04730 | MINTEX &gt;&gt; MDC2197 | ZIMMERMANN &gt;&gt; 150345220 | DELPHI &gt;&gt; BG4184 | TRUSTING &gt;&gt; DF1370 | TRW &gt;&gt; DF6016 | BRECO &gt;&gt; BS8725 | BRECO &gt;&gt; 09A04730 | CAR &gt;&gt; 1421338 | PILENGA &gt;&gt; V103 | sbs &gt;&gt; 1815204040 | SAMKO &gt;&gt; B2063V</t>
  </si>
  <si>
    <t>for article number &gt;&gt; B2064V | Diameter [mm] &gt;&gt; 330 | Height [mm] &gt;&gt; 73 | Brake Disc Type &gt;&gt; Internally Vented | Brake Disc Thickness [mm] &gt;&gt; 24 | Minimum Thickness [mm] &gt;&gt; 22,4 | Number of Holes &gt;&gt; 5 | Centering Diameter [mm] &gt;&gt; 79</t>
  </si>
  <si>
    <t>BMW &gt;&gt; 34116792221 | PAGID &gt;&gt; 55420PRO | ZIMMERMANN &gt;&gt; 150290120 | ROADHOUSE &gt;&gt; 6145210 | REMSA &gt;&gt; 6145210 | CAR &gt;&gt; 1421596 | PILENGA &gt;&gt; V007 | sbs &gt;&gt; 1815201596 | SAMKO &gt;&gt; B2064V</t>
  </si>
  <si>
    <t>Centering Diameter [mm] &gt;&gt; 79 | Number of Holes &gt;&gt; 5 | Minimum Thickness [mm] &gt;&gt; 20,4 | Brake Disc Thickness [mm] &gt;&gt; 22 | Brake Disc Type &gt;&gt; Internally Vented | Diameter [mm] &gt;&gt; 294 | for article number &gt;&gt; B2065V | Height [mm] &gt;&gt; 45,2</t>
  </si>
  <si>
    <t>MINI &gt;&gt; 34119804828 | ATE &gt;&gt; 24012202711 | BOSCH &gt;&gt; 0986479725 | ZIMMERMANN &gt;&gt; 150348520 | ROADHOUSE &gt;&gt; 6143910 | REMSA &gt;&gt; 6143910 | A.B.S. &gt;&gt; 18148 | TRUSTING &gt;&gt; DF1452 | CAR &gt;&gt; 1421702 | SAMKO &gt;&gt; B2065V</t>
  </si>
  <si>
    <t>Minimum Thickness [mm] &gt;&gt; 22,4 | for article number &gt;&gt; B2066V | Centering Diameter [mm] &gt;&gt; 79 | Number of Holes &gt;&gt; 5 | Brake Disc Type &gt;&gt; Internally Vented | Diameter [mm] &gt;&gt; 307 | Height [mm] &gt;&gt; 45,2 | Brake Disc Thickness [mm] &gt;&gt; 24</t>
  </si>
  <si>
    <t>MINI &gt;&gt; 34119804829 | ATE &gt;&gt; 24012402401 | BOSCH &gt;&gt; 0986479726 | ZIMMERMANN &gt;&gt; 150348620 | ROADHOUSE &gt;&gt; 6144010 | REMSA &gt;&gt; 6144010 | A.B.S. &gt;&gt; 18149 | TRUSTING &gt;&gt; DF1453 | TRW &gt;&gt; DF6119S | CAR &gt;&gt; 1421703 | SAMKO &gt;&gt; B2066V</t>
  </si>
  <si>
    <t>Brake Disc Thickness [mm] &gt;&gt; 28 | for article number &gt;&gt; B2067V | Centering Diameter [mm] &gt;&gt; 75 | Minimum Thickness [mm] &gt;&gt; 26,4 | Brake Disc Type &gt;&gt; Internally Vented | Height [mm] &gt;&gt; 73,1 | Diameter [mm] &gt;&gt; 328 | Number of Holes &gt;&gt; 5</t>
  </si>
  <si>
    <t>BMW &gt;&gt; 34106787490 | ATE &gt;&gt; 24012802541 | PAGID &gt;&gt; 55571PRO | BOSCH &gt;&gt; 0986479771 | ZIMMERMANN &gt;&gt; 150349420 | DELPHI &gt;&gt; BG9108 | NK &gt;&gt; 2015104 | ROADHOUSE &gt;&gt; 6145410 | REMSA &gt;&gt; 6145410 | A.B.S. &gt;&gt; 18169 | CAR &gt;&gt; 1421661 | PILENGA &gt;&gt; V544 | sbs &gt;&gt; 18152015104 | SAMKO &gt;&gt; B2067V</t>
  </si>
  <si>
    <t>for article number &gt;&gt; B2068V | Centering Diameter [mm] &gt;&gt; 75 | Minimum Thickness [mm] &gt;&gt; 18,4 | Number of Holes &gt;&gt; 5 | Brake Disc Type &gt;&gt; Internally Vented | Diameter [mm] &gt;&gt; 330 | Height [mm] &gt;&gt; 71 | Brake Disc Thickness [mm] &gt;&gt; 20</t>
  </si>
  <si>
    <t>BMW &gt;&gt; 34206790362 | ATE &gt;&gt; 24012002341 | PAGID &gt;&gt; 55563PRO | BOSCH &gt;&gt; 0986479727 | ZIMMERMANN &gt;&gt; 150349520 | NK &gt;&gt; 2015105 | ROADHOUSE &gt;&gt; 6145510 | REMSA &gt;&gt; 6145510 | A.B.S. &gt;&gt; 18207 | CAR &gt;&gt; 1421662 | PILENGA &gt;&gt; V543 | sbs &gt;&gt; 18152015105 | SAMKO &gt;&gt; B2068V</t>
  </si>
  <si>
    <t>Brake Disc Thickness [mm] &gt;&gt; 22 | for article number &gt;&gt; B2069V | Centering Diameter [mm] &gt;&gt; 64,1 | Minimum Thickness [mm] &gt;&gt; 20,4 | Brake Disc Type &gt;&gt; Internally Vented | Height [mm] &gt;&gt; 45 | Diameter [mm] &gt;&gt; 316 | Number of Holes &gt;&gt; 4</t>
  </si>
  <si>
    <t>MINI &gt;&gt; 34116784366 | MINI &gt;&gt; 34106784366 | MINI &gt;&gt; 34116855781 | MINI &gt;&gt; 34116858071 | PAGID &gt;&gt; 55550 | BOSCH &gt;&gt; 0986479A07 | TEXTAR &gt;&gt; 92255003 | BREMBO &gt;&gt; 09A50610 | MINTEX &gt;&gt; MDC2523 | ZIMMERMANN &gt;&gt; 150348820 | ROADHOUSE &gt;&gt; 6144210 | REMSA &gt;&gt; 6144210 | TRUSTING &gt;&gt; DF1367 | BRECO &gt;&gt; 09A50610 | BRECO &gt;&gt; BS8827 | CAR &gt;&gt; 1421725 | PILENGA &gt;&gt; V1412 | sbs &gt;&gt; 1815204046 | SAMKO &gt;&gt; B2069V</t>
  </si>
  <si>
    <t>Brake Disc Thickness [mm] &gt;&gt; 30 | Centering Diameter [mm] &gt;&gt; 75 | for article number &gt;&gt; B2070V | Minimum Thickness [mm] &gt;&gt; 28,4 | Height [mm] &gt;&gt; 66 | Diameter [mm] &gt;&gt; 348 | Number of Holes &gt;&gt; 5 | Brake Disc Type &gt;&gt; Internally Vented</t>
  </si>
  <si>
    <t>BMW &gt;&gt; 34116775277 | ATE &gt;&gt; 24013002182 | BOSCH &gt;&gt; 0986479772 | ZIMMERMANN &gt;&gt; 150348320 | METELLI &gt;&gt; 231268C | A.B.S. &gt;&gt; 18261 | CAR &gt;&gt; 1421587 | CIFAM &gt;&gt; 8001268C | SAMKO &gt;&gt; B2070V</t>
  </si>
  <si>
    <t>Brake Disc Thickness [mm] &gt;&gt; 13 | for article number &gt;&gt; B2071P | Centering Diameter [mm] &gt;&gt; 74 | Minimum Thickness [mm] &gt;&gt; 11,7 | Brake Disc Type &gt;&gt; Solid | Height [mm] &gt;&gt; 78 | Diameter [mm] &gt;&gt; 280 | Number of Holes &gt;&gt; 5</t>
  </si>
  <si>
    <t>BMW &gt;&gt; 34111116947 | BMW &gt;&gt; 34111156124 | BMW &gt;&gt; 34111163144 | BMW &gt;&gt; 34111156128 | BMW &gt;&gt; 34111152295 | ATE &gt;&gt; 24011301391 | BOSCH &gt;&gt; 0986478038 | JURID &gt;&gt; 561122J | BENDIX &gt;&gt; 561122B | FTE &gt;&gt; BS3290 | QUINTON HAZELL &gt;&gt; BDC3290 | FERODO &gt;&gt; DDF085 | BREMBO &gt;&gt; 08371210 | ZIMMERMANN &gt;&gt; 150113400 | DELPHI &gt;&gt; BG183 | METELLI &gt;&gt; 230070 | ROADHOUSE &gt;&gt; 628800 | REMSA &gt;&gt; 628800 | GRAF &gt;&gt; DF2870 | TRW &gt;&gt; DF1556 | BRADI &gt;&gt; 1060714 | BRECO &gt;&gt; BS7220 | BRECO &gt;&gt; 08371210 | INTERBRAKE &gt;&gt; BW071P | CAR &gt;&gt; 142119 | PILENGA &gt;&gt; 5117 | CIFAM &gt;&gt; 800070 | SAMKO &gt;&gt; B2071P | URPA &gt;&gt; 101138</t>
  </si>
  <si>
    <t>Brake Disc Type &gt;&gt; Solid | Centering Diameter [mm] &gt;&gt; 79 | Number of Holes &gt;&gt; 5 | for article number &gt;&gt; B2072P | Height [mm] &gt;&gt; 50,2 | Diameter [mm] &gt;&gt; 280 | Minimum Thickness [mm] &gt;&gt; 8,4 | Brake Disc Thickness [mm] &gt;&gt; 10</t>
  </si>
  <si>
    <t>MINI &gt;&gt; 34219811539 | MINI &gt;&gt; 34209804830 | ATE &gt;&gt; 24011003581 | BOSCH &gt;&gt; 0986479728 | ZIMMERMANN &gt;&gt; 150348720 | DELPHI &gt;&gt; BG4561 | METELLI &gt;&gt; 231379C | ROADHOUSE &gt;&gt; 6144100 | REMSA &gt;&gt; 6144100 | A.B.S. &gt;&gt; 18205 | TRW &gt;&gt; DF6353 | CAR &gt;&gt; 1421704 | PILENGA &gt;&gt; 5139 | CIFAM &gt;&gt; 8001379C | SAMKO &gt;&gt; B2072P</t>
  </si>
  <si>
    <t>Brake Disc Thickness [mm] &gt;&gt; 24 | for article number &gt;&gt; B2073V | Centering Diameter [mm] &gt;&gt; 75 | Minimum Thickness [mm] &gt;&gt; 22,4 | Brake Disc Type &gt;&gt; Internally Vented | Height [mm] &gt;&gt; 66 | Diameter [mm] &gt;&gt; 330 | Number of Holes &gt;&gt; 5</t>
  </si>
  <si>
    <t>BMW &gt;&gt; 34116794429 | ATE &gt;&gt; 24012402392 | ZIMMERMANN &gt;&gt; 150348220 | A.B.S. &gt;&gt; 18260 | CAR &gt;&gt; 1421592 | SAMKO &gt;&gt; B2073V</t>
  </si>
  <si>
    <t>Brake Disc Thickness [mm] &gt;&gt; 20 | Minimum Thickness [mm] &gt;&gt; 18,4 | for article number &gt;&gt; B2074V | Centering Diameter [mm] &gt;&gt; 75 | Diameter [mm] &gt;&gt; 330 | Brake Disc Type &gt;&gt; Internally Vented | Height [mm] &gt;&gt; 68,8 | Number of Holes &gt;&gt; 5</t>
  </si>
  <si>
    <t>BMW &gt;&gt; 34216775287 | ATE &gt;&gt; 24012002292 | ZIMMERMANN &gt;&gt; 150348420 | A.B.S. &gt;&gt; 18258 | CAR &gt;&gt; 1421593 | SAMKO &gt;&gt; B2074V</t>
  </si>
  <si>
    <t>Brake Disc Thickness [mm] &gt;&gt; 20 | for article number &gt;&gt; B2075V | Centering Diameter [mm] &gt;&gt; 75 | Minimum Thickness [mm] &gt;&gt; 18,4 | Brake Disc Type &gt;&gt; Internally Vented | Height [mm] &gt;&gt; 66 | Diameter [mm] &gt;&gt; 300 | Number of Holes &gt;&gt; 5</t>
  </si>
  <si>
    <t>BMW &gt;&gt; 34216792227 | ATE &gt;&gt; 24012002371 | BOSCH &gt;&gt; 0986479044 | ZIMMERMANN &gt;&gt; 150349820 | ROADHOUSE &gt;&gt; 6149510 | REMSA &gt;&gt; 6149510 | A.B.S. &gt;&gt; 18197 | CAR &gt;&gt; 1421732 | PILENGA &gt;&gt; V1402 | SAMKO &gt;&gt; B2075V</t>
  </si>
  <si>
    <t>Centering Diameter [mm] &gt;&gt; 66,9 | for article number &gt;&gt; B2076V | Minimum Thickness [mm] &gt;&gt; 22,4 | Number of Holes &gt;&gt; 5 | Brake Disc Type &gt;&gt; Internally Vented | Height [mm] &gt;&gt; 44,4 | Diameter [mm] &gt;&gt; 307 | Brake Disc Thickness [mm] &gt;&gt; 24</t>
  </si>
  <si>
    <t>BMW &gt;&gt; 34116799351 | NK &gt;&gt; 2015118 | sbs &gt;&gt; 18152015118 | SAMKO &gt;&gt; B2076V</t>
  </si>
  <si>
    <t>Brake Disc Thickness [mm] &gt;&gt; 22 | for article number &gt;&gt; B2077V | Centering Diameter [mm] &gt;&gt; 66,9 | Minimum Thickness [mm] &gt;&gt; 20,4 | Brake Disc Type &gt;&gt; Internally Vented | Height [mm] &gt;&gt; 44,65 | Diameter [mm] &gt;&gt; 294 | Number of Holes &gt;&gt; 5</t>
  </si>
  <si>
    <t>BMW &gt;&gt; 34116866297 | NK &gt;&gt; 2015116 | ROADHOUSE &gt;&gt; 6154510 | REMSA &gt;&gt; 6154510 | sbs &gt;&gt; 18152015116 | SAMKO &gt;&gt; B2077V</t>
  </si>
  <si>
    <t>Centering Diameter [mm] &gt;&gt; 66,9 | Minimum Thickness [mm] &gt;&gt; 8,4 | for article number &gt;&gt; B2078P | Number of Holes &gt;&gt; 5 | Brake Disc Type &gt;&gt; Solid | Height [mm] &gt;&gt; 50,4 | Diameter [mm] &gt;&gt; 280 | Brake Disc Thickness [mm] &gt;&gt; 10</t>
  </si>
  <si>
    <t>BMW &gt;&gt; 34216799367 | NK &gt;&gt; 2015119 | sbs &gt;&gt; 18152015119 | SAMKO &gt;&gt; B2078P</t>
  </si>
  <si>
    <t>Centering Diameter [mm] &gt;&gt; 66,9 | Diameter [mm] &gt;&gt; 330 | for article number &gt;&gt; B2079V | Number of Holes &gt;&gt; 5 | Minimum Thickness [mm] &gt;&gt; 22,4 | Brake Disc Thickness [mm] &gt;&gt; 24 | Brake Disc Type &gt;&gt; Internally Vented | Height [mm] &gt;&gt; 45,4</t>
  </si>
  <si>
    <t>BMW &gt;&gt; 34116865713 | NK &gt;&gt; 2015115 | ROADHOUSE &gt;&gt; 6154610 | REMSA &gt;&gt; 6154610 | sbs &gt;&gt; 18152015115 | SAMKO &gt;&gt; B2079V</t>
  </si>
  <si>
    <t>Height [mm] &gt;&gt; 50,8 | Brake Disc Type &gt;&gt; Internally Vented | Brake Disc Thickness [mm] &gt;&gt; 20 | Minimum Thickness [mm] &gt;&gt; 18,4 | Number of Holes &gt;&gt; 5 | Centering Diameter [mm] &gt;&gt; 66,9 | for article number &gt;&gt; B2080V | Diameter [mm] &gt;&gt; 300</t>
  </si>
  <si>
    <t>BMW &gt;&gt; 34216799369 | NK &gt;&gt; 2015117 | sbs &gt;&gt; 18152015117 | SAMKO &gt;&gt; B2080V</t>
  </si>
  <si>
    <t>Height [mm] &gt;&gt; 68 | Diameter [mm] &gt;&gt; 280 | Brake Disc Thickness [mm] &gt;&gt; 10 | Minimum Thickness [mm] &gt;&gt; 9 | Number of Holes &gt;&gt; 5 | Centering Diameter [mm] &gt;&gt; 75 | for article number &gt;&gt; B2081P | Brake System &gt;&gt; SUMITOMO | Brake Disc Type &gt;&gt; Solid</t>
  </si>
  <si>
    <t>BMW &gt;&gt; 34211165255 | BMW &gt;&gt; 34211117730 | BMW &gt;&gt; 34211152298 | ATE &gt;&gt; 24011001471 | JURID &gt;&gt; 561123J | BENDIX &gt;&gt; 561123B | FERODO &gt;&gt; DDF086 | BREMBO &gt;&gt; 08371310 | ZIMMERMANN &gt;&gt; 150114000 | BRECO &gt;&gt; 08371310 | INTERBRAKE &gt;&gt; BW081P | CAR &gt;&gt; 142125 | PILENGA &gt;&gt; 5130 | SAMKO &gt;&gt; B2081P</t>
  </si>
  <si>
    <t>Height [mm] &gt;&gt; 76 | for article number &gt;&gt; B2091P | Centering Diameter [mm] &gt;&gt; 79 | Number of Holes &gt;&gt; 5 | Minimum Thickness [mm] &gt;&gt; 11 | Brake Disc Type &gt;&gt; Solid | Diameter [mm] &gt;&gt; 284 | Brake Disc Thickness [mm] &gt;&gt; 12</t>
  </si>
  <si>
    <t>BMW &gt;&gt; 34111151632 | BMW &gt;&gt; 34111163133 | BMW &gt;&gt; 34111163134 | ATE &gt;&gt; 24011201111 | BOSCH &gt;&gt; 0986478037 | TEXTAR &gt;&gt; 92022200 | JURID &gt;&gt; 561161J | BENDIX &gt;&gt; 561161B | FTE &gt;&gt; BS3294 | QUINTON HAZELL &gt;&gt; BDC3294 | FERODO &gt;&gt; DDF119 | BREMBO &gt;&gt; 08448510 | MINTEX &gt;&gt; MDC270 | ZIMMERMANN &gt;&gt; 150125100 | DELPHI &gt;&gt; BG2210 | DELPHI &gt;&gt; BG210 | METELLI &gt;&gt; 230085 | ROADHOUSE &gt;&gt; 631200 | REMSA &gt;&gt; 631200 | GRAF &gt;&gt; DF2885 | KWP &gt;&gt; 102885 | TRW &gt;&gt; DF1564 | BRADI &gt;&gt; 1060914 | BRECO &gt;&gt; BS7279 | BRECO &gt;&gt; 08448510 | INTERBRAKE &gt;&gt; BW091P | CAR &gt;&gt; 142122 | PILENGA &gt;&gt; 5120 | CIFAM &gt;&gt; 800085 | SAMKO &gt;&gt; B2091P | URPA &gt;&gt; 101080</t>
  </si>
  <si>
    <t>Number of Holes &gt;&gt; 5 | Height [mm] &gt;&gt; 76 | for article number &gt;&gt; B2101V | Centering Diameter [mm] &gt;&gt; 79 | Diameter [mm] &gt;&gt; 284 | Brake Disc Type &gt;&gt; Internally Vented | Brake Disc Thickness [mm] &gt;&gt; 22 | Minimum Thickness [mm] &gt;&gt; 20,4</t>
  </si>
  <si>
    <t>BMW &gt;&gt; 34111151656 | BMW &gt;&gt; 34111151655 | BMW &gt;&gt; 34111163135 | BMW &gt;&gt; 34111163136 | ATE &gt;&gt; 24012201351 | ATE &gt;&gt; 24012201171 | PAGID &gt;&gt; 50420 | BOSCH &gt;&gt; 0986478043 | TEXTAR &gt;&gt; 92022300 | JURID &gt;&gt; 561186J | BENDIX &gt;&gt; 561186B | FTE &gt;&gt; BS3201 | QUINTON HAZELL &gt;&gt; BDC3201 | FERODO &gt;&gt; DDF173 | BREMBO &gt;&gt; 09448620 | BREMBO &gt;&gt; 09448610 | MINTEX &gt;&gt; MDC283 | ZIMMERMANN &gt;&gt; 150125200 | DELPHI &gt;&gt; BG2212 | DELPHI &gt;&gt; BG212 | METELLI &gt;&gt; 230094 | ROADHOUSE &gt;&gt; 631710 | REMSA &gt;&gt; 631710 | GRAF &gt;&gt; DF2894 | KWP &gt;&gt; 102894 | TRW &gt;&gt; DF1565 | BRADI &gt;&gt; 1061024 | BRECO &gt;&gt; 09448610 | BRECO &gt;&gt; 09448620 | BRECO &gt;&gt; BS8309 | INTERBRAKE &gt;&gt; BW101V | CAR &gt;&gt; 142123 | FREMAX &gt;&gt; BD1656 | PILENGA &gt;&gt; V112 | sbs &gt;&gt; 1815201513 | CIFAM &gt;&gt; 800094 | SAMKO &gt;&gt; B2101V | URPA &gt;&gt; 101078</t>
  </si>
  <si>
    <t>Brake Disc Thickness [mm] &gt;&gt; 10 | for article number &gt;&gt; B2111P | Centering Diameter [mm] &gt;&gt; 75 | Minimum Thickness [mm] &gt;&gt; 8,4 | Brake Disc Type &gt;&gt; Solid | Height [mm] &gt;&gt; 61 | Diameter [mm] &gt;&gt; 284 | Number of Holes &gt;&gt; 5</t>
  </si>
  <si>
    <t>BMW &gt;&gt; 34211121387 | BMW &gt;&gt; 34211152571 | BMW &gt;&gt; 34211163140 | BMW &gt;&gt; 34211162968 | ATE &gt;&gt; 24011001741 | PAGID &gt;&gt; 50409 | BOSCH &gt;&gt; 0986478044 | TEXTAR &gt;&gt; 92022400 | JURID &gt;&gt; 561162J | BENDIX &gt;&gt; 561162B | FTE &gt;&gt; BS3295 | QUINTON HAZELL &gt;&gt; BDC3295 | FERODO &gt;&gt; DDF120 | BREMBO &gt;&gt; 08448710 | MINTEX &gt;&gt; MDC271 | ZIMMERMANN &gt;&gt; 150125300 | DELPHI &gt;&gt; BG2211 | DELPHI &gt;&gt; BG211 | METELLI &gt;&gt; 230095 | ROADHOUSE &gt;&gt; 630800 | REMSA &gt;&gt; 630800 | GRAF &gt;&gt; DF2895 | KWP &gt;&gt; 102895 | TRW &gt;&gt; DF1566 | BRADI &gt;&gt; 1061154 | BRECO &gt;&gt; BS7281 | BRECO &gt;&gt; 08448710 | INTERBRAKE &gt;&gt; BW111P | CAR &gt;&gt; 142124 | Brake ENGINEERING &gt;&gt; DI844871 | FREMAX &gt;&gt; BD1387 | PILENGA &gt;&gt; 5118 | CIFAM &gt;&gt; 800095 | SAMKO &gt;&gt; B2111P | URPA &gt;&gt; 101079</t>
  </si>
  <si>
    <t>Height [mm] &gt;&gt; 35 | Number of Holes &gt;&gt; 4 | for article number &gt;&gt; B2121P | Centering Diameter [mm] &gt;&gt; 66 | Diameter [mm] &gt;&gt; 260 | Brake Disc Type &gt;&gt; Solid | Brake Disc Thickness [mm] &gt;&gt; 13 | Minimum Thickness [mm] &gt;&gt; 11,1</t>
  </si>
  <si>
    <t>BMW &gt;&gt; 34111154747 | BMW &gt;&gt; 34116752434 | ATE &gt;&gt; 24011301671 | PAGID &gt;&gt; 50403 | VALEO &gt;&gt; 186118 | BOSCH &gt;&gt; 0986478029 | TEXTAR &gt;&gt; 92026400 | JURID &gt;&gt; 561266J | BENDIX &gt;&gt; 561266B | FTE &gt;&gt; BS3464 | QUINTON HAZELL &gt;&gt; BDC3464 | FERODO &gt;&gt; DDF062 | BREMBO &gt;&gt; 08306810 | MINTEX &gt;&gt; MDC336 | ZIMMERMANN &gt;&gt; 150125700 | DELPHI &gt;&gt; BG252 | DELPHI &gt;&gt; BG2252 | METELLI &gt;&gt; 230122 | ROADHOUSE &gt;&gt; 605800 | REMSA &gt;&gt; 605800 | GRAF &gt;&gt; DF29122 | KWP &gt;&gt; 129122 | TRW &gt;&gt; DF1569 | BRADI &gt;&gt; 1061314 | BRECO &gt;&gt; BS7325 | BRECO &gt;&gt; 08306810 | INTERBRAKE &gt;&gt; BW121P | CAR &gt;&gt; 142126 | Brake ENGINEERING &gt;&gt; DI951086 | APEC braking &gt;&gt; DSK567 | FREMAX &gt;&gt; BD4747 | PILENGA &gt;&gt; 5121 | CIFAM &gt;&gt; 800122 | SAMKO &gt;&gt; B2121P | URPA &gt;&gt; 101136</t>
  </si>
  <si>
    <t>Brake Disc Thickness [mm] &gt;&gt; 10 | for article number &gt;&gt; B2131P | Centering Diameter [mm] &gt;&gt; 62 | Minimum Thickness [mm] &gt;&gt; 8,4 | Brake Disc Type &gt;&gt; Solid | Height [mm] &gt;&gt; 60 | Diameter [mm] &gt;&gt; 258 | Number of Holes &gt;&gt; 4</t>
  </si>
  <si>
    <t>BMW &gt;&gt; 34211119581 | BMW &gt;&gt; 34211122282 | BMW &gt;&gt; 34216755407 | ATE &gt;&gt; 24011001501 | PAGID &gt;&gt; 50407 | VALEO &gt;&gt; 186117 | BOSCH &gt;&gt; 0986478034 | TEXTAR &gt;&gt; 92019200 | JURID &gt;&gt; 561132J | BENDIX &gt;&gt; 561132B | FTE &gt;&gt; BS3288 | QUINTON HAZELL &gt;&gt; BDC3288 | FERODO &gt;&gt; DDF093 | BREMBO &gt;&gt; 08394720 | MINTEX &gt;&gt; MDC470 | ZIMMERMANN &gt;&gt; 150112900 | DELPHI &gt;&gt; BG2202 | DELPHI &gt;&gt; BG202 | METELLI &gt;&gt; 230084 | ROADHOUSE &gt;&gt; 619700 | REMSA &gt;&gt; 619700 | GRAF &gt;&gt; DF2884 | KWP &gt;&gt; 102884 | TRW &gt;&gt; DF1561 | BRADI &gt;&gt; 1061254 | BRECO &gt;&gt; BS7271 | BRECO &gt;&gt; 08394720 | INTERBRAKE &gt;&gt; BW131P | CAR &gt;&gt; 142111 | Brake ENGINEERING &gt;&gt; DI839472 | APEC braking &gt;&gt; DSK553 | FREMAX &gt;&gt; BD9581 | PILENGA &gt;&gt; 5119 | sbs &gt;&gt; 1815201510 | CIFAM &gt;&gt; 800084 | SAMKO &gt;&gt; B2131P | URPA &gt;&gt; 101077</t>
  </si>
  <si>
    <t>Brake Disc Thickness [mm] &gt;&gt; 22 | for article number &gt;&gt; B2171V | Centering Diameter [mm] &gt;&gt; 66 | Brake System &gt;&gt; ATE | Brake Disc Type &gt;&gt; Internally Vented | Height [mm] &gt;&gt; 35 | Diameter [mm] &gt;&gt; 260 | Minimum Thickness [mm] &gt;&gt; 20,4 | Number of Holes &gt;&gt; 4</t>
  </si>
  <si>
    <t>BMW &gt;&gt; 34111154749 | BMW &gt;&gt; 34111154750 | BMW &gt;&gt; 34111160915 | ATE &gt;&gt; 24012201221 | PAGID &gt;&gt; 50421PRO | VALEO &gt;&gt; 186119 | BOSCH &gt;&gt; 0986478036 | TEXTAR &gt;&gt; 92026500 | JURID &gt;&gt; 561324J | BENDIX &gt;&gt; 561324B | FTE &gt;&gt; BS3480 | QUINTON HAZELL &gt;&gt; BDC3480 | FERODO &gt;&gt; DDF182 | BREMBO &gt;&gt; 09488310 | MINTEX &gt;&gt; MDC391 | ZIMMERMANN &gt;&gt; 150125800 | DELPHI &gt;&gt; BG2347 | DELPHI &gt;&gt; BG347 | METELLI &gt;&gt; 230123 | ROADHOUSE &gt;&gt; 606210 | REMSA &gt;&gt; 606210 | GRAF &gt;&gt; DF29123 | KWP &gt;&gt; 129123 | TRW &gt;&gt; DF2550 | BRADI &gt;&gt; 106142E | BRECO &gt;&gt; BS7911 | BRECO &gt;&gt; 09488310 | INTERBRAKE &gt;&gt; BW171V | CAR &gt;&gt; 142127 | Brake ENGINEERING &gt;&gt; DI951087 | APEC braking &gt;&gt; DSK539 | FREMAX &gt;&gt; BD4749 | PILENGA &gt;&gt; V113 | sbs &gt;&gt; 1815201509 | CIFAM &gt;&gt; 800123 | SAMKO &gt;&gt; B2171V | URPA &gt;&gt; 101137</t>
  </si>
  <si>
    <t>Brake Disc Type &gt;&gt; Internally Vented | for article number &gt;&gt; B2191V | Centering Diameter [mm] &gt;&gt; 79 | Number of Holes &gt;&gt; 5 | Brake Disc Thickness [mm] &gt;&gt; 28 | Height [mm] &gt;&gt; 76 | Diameter [mm] &gt;&gt; 302 | Minimum Thickness [mm] &gt;&gt; 26,4</t>
  </si>
  <si>
    <t>BMW &gt;&gt; 34116756090 | BMW &gt;&gt; 34111157391 | BMW &gt;&gt; 34111158039 | BMW &gt;&gt; 34111159896 | BMW &gt;&gt; 34111158038 | BMW &gt;&gt; 34111155322 | ATE &gt;&gt; 24012801011 | PAGID &gt;&gt; 50423 | VALEO &gt;&gt; 186127 | BOSCH &gt;&gt; 0986478317 | TEXTAR &gt;&gt; 92042400 | JURID &gt;&gt; 561479J | BENDIX &gt;&gt; 561479B | FTE &gt;&gt; BS3645 | QUINTON HAZELL &gt;&gt; BDC3645 | FERODO &gt;&gt; DDF222 | BREMBO &gt;&gt; 09517520 | MINTEX &gt;&gt; MDC477 | ZIMMERMANN &gt;&gt; 150126100 | DELPHI &gt;&gt; BG434 | DELPHI &gt;&gt; BG2434 | ROADHOUSE &gt;&gt; 634910 | REMSA &gt;&gt; 634910 | TRW &gt;&gt; DF2558 | BRADI &gt;&gt; 1062124 | BRECO &gt;&gt; BS8249 | BRECO &gt;&gt; 09517520 | INTERBRAKE &gt;&gt; BW191V | CAR &gt;&gt; 142107 | Brake ENGINEERING &gt;&gt; DI953300 | APEC braking &gt;&gt; DSK920 | PILENGA &gt;&gt; V117 | sbs &gt;&gt; 1815201526 | SAMKO &gt;&gt; B2191V | URPA &gt;&gt; 101262</t>
  </si>
  <si>
    <t>Number of Holes &gt;&gt; 5 | Minimum Thickness [mm] &gt;&gt; 20,4 | Centering Diameter [mm] &gt;&gt; 79 | Brake Disc Type &gt;&gt; Internally Vented | Diameter [mm] &gt;&gt; 302 | Height [mm] &gt;&gt; 76 | for article number &gt;&gt; B2201V | Brake Disc Thickness [mm] &gt;&gt; 22</t>
  </si>
  <si>
    <t>BMW &gt;&gt; 34111158040 | BMW &gt;&gt; 34111159897 | BMW &gt;&gt; 34111160936 | BMW &gt;&gt; 34111160849 | ATE &gt;&gt; 24012201031 | PAGID &gt;&gt; 50422PRO | VALEO &gt;&gt; 186767 | BOSCH &gt;&gt; 0986478318 | TEXTAR &gt;&gt; 92042200 | JURID &gt;&gt; 561478J | BENDIX &gt;&gt; 561478B | FTE &gt;&gt; BS3642 | QUINTON HAZELL &gt;&gt; BDC3642 | FERODO &gt;&gt; DDF211 | BREMBO &gt;&gt; 09514220 | BREMBO &gt;&gt; 09514224 | BREMBO &gt;&gt; 09514210 | MINTEX &gt;&gt; MDC459 | ZIMMERMANN &gt;&gt; 150126400 | DELPHI &gt;&gt; BG2433 | DELPHI &gt;&gt; BG433 | METELLI &gt;&gt; 230188 | ROADHOUSE &gt;&gt; 634810 | REMSA &gt;&gt; 634810 | GRAF &gt;&gt; DF29188 | KWP &gt;&gt; 129188 | TRW &gt;&gt; DF2556 | BRADI &gt;&gt; 1062024 | BRECO &gt;&gt; 09514224 | BRECO &gt;&gt; 09514210 | BRECO &gt;&gt; 09514220 | INTERBRAKE &gt;&gt; BW201V | CAR &gt;&gt; 142108 | Brake ENGINEERING &gt;&gt; DI955242 | Brake ENGINEERING &gt;&gt; DI953290 | APEC braking &gt;&gt; DSK965 | APEC braking &gt;&gt; DSK915 | FREMAX &gt;&gt; BD8040 | PILENGA &gt;&gt; V116 | sbs &gt;&gt; 1815201519 | CIFAM &gt;&gt; 800188 | SAMKO &gt;&gt; B2201V | URPA &gt;&gt; 101261</t>
  </si>
  <si>
    <t>Brake Disc Type &gt;&gt; Solid | for article number &gt;&gt; B2211P | Centering Diameter [mm] &gt;&gt; 75 | Number of Holes &gt;&gt; 5 | Brake Disc Thickness [mm] &gt;&gt; 12 | Height [mm] &gt;&gt; 68 | Diameter [mm] &gt;&gt; 300 | Minimum Thickness [mm] &gt;&gt; 10,4</t>
  </si>
  <si>
    <t>BMW &gt;&gt; 34211155499 | BMW &gt;&gt; 34211157360 | BMW &gt;&gt; 34211157361 | BMW &gt;&gt; 34211165257 | ATE &gt;&gt; 24011201201 | PAGID &gt;&gt; 50415 | BOSCH &gt;&gt; 0986478322 | TEXTAR &gt;&gt; 92042500 | JURID &gt;&gt; 561480J | BENDIX &gt;&gt; 561480B | FTE &gt;&gt; BS3646 | QUINTON HAZELL &gt;&gt; BDC3646 | FERODO &gt;&gt; DDF317 | BREMBO &gt;&gt; 08544210 | ZIMMERMANN &gt;&gt; 150126300 | DELPHI &gt;&gt; BG435 | DELPHI &gt;&gt; BG2435 | TRW &gt;&gt; DF1591 | BRADI &gt;&gt; 1062254 | BRECO &gt;&gt; BS7419 | BRECO &gt;&gt; 08544210 | INTERBRAKE &gt;&gt; BW211P | CAR &gt;&gt; 142106 | PILENGA &gt;&gt; 5127 | SAMKO &gt;&gt; B2211P</t>
  </si>
  <si>
    <t>Minimum Thickness [mm] &gt;&gt; 8,4 | Centering Diameter [mm] &gt;&gt; 75 | for article number &gt;&gt; B2221P | Number of Holes &gt;&gt; 5 | Brake Disc Type &gt;&gt; Solid | Diameter [mm] &gt;&gt; 300 | Height [mm] &gt;&gt; 68 | Brake Disc Thickness [mm] &gt;&gt; 10</t>
  </si>
  <si>
    <t>BMW &gt;&gt; 34211157781 | BMW &gt;&gt; 34211165259 | ATE &gt;&gt; 24011001181 | PAGID &gt;&gt; 50414 | BOSCH &gt;&gt; 0986478323 | TEXTAR &gt;&gt; 92042600 | JURID &gt;&gt; 561524J | BENDIX &gt;&gt; 561524B | FTE &gt;&gt; BS3720 | QUINTON HAZELL &gt;&gt; BDC3720 | FERODO &gt;&gt; DDF326 | BREMBO &gt;&gt; 08544010 | ZIMMERMANN &gt;&gt; 150126200 | DELPHI &gt;&gt; BG437 | DELPHI &gt;&gt; BG2437 | TRW &gt;&gt; DF1592 | BRADI &gt;&gt; 1062354 | BRECO &gt;&gt; BS7418 | BRECO &gt;&gt; 08544010 | INTERBRAKE &gt;&gt; BW221P | PILENGA &gt;&gt; 5126 | SAMKO &gt;&gt; B2221P | URPA &gt;&gt; 101735</t>
  </si>
  <si>
    <t>for article number &gt;&gt; B2231P | Height [mm] &gt;&gt; 76 | Brake Disc Type &gt;&gt; Solid | Brake Disc Thickness [mm] &gt;&gt; 12 | Minimum Thickness [mm] &gt;&gt; 10,4 | Number of Holes &gt;&gt; 5 | Centering Diameter [mm] &gt;&gt; 79 | Diameter [mm] &gt;&gt; 302</t>
  </si>
  <si>
    <t>BMW &gt;&gt; 34111159898 | BMW &gt;&gt; 34111158042 | BMW &gt;&gt; 34111161693 | ATE &gt;&gt; 24011201241 | PAGID &gt;&gt; 50410PRO | VALEO &gt;&gt; 186124 | BOSCH &gt;&gt; 0986478319 | TEXTAR &gt;&gt; 92042100 | JURID &gt;&gt; 561476J | BENDIX &gt;&gt; 561476B | FTE &gt;&gt; BS3639 | QUINTON HAZELL &gt;&gt; BDC3639 | FERODO &gt;&gt; DDF210 | BREMBO &gt;&gt; 08514120 | BREMBO &gt;&gt; 08514110 | MINTEX &gt;&gt; MDC480 | ZIMMERMANN &gt;&gt; 150126600 | DELPHI &gt;&gt; BG430 | DELPHI &gt;&gt; BG2430 | METELLI &gt;&gt; 230187 | ROADHOUSE &gt;&gt; 634700 | REMSA &gt;&gt; 634700 | GRAF &gt;&gt; DF29187 | KWP &gt;&gt; 129187 | TRW &gt;&gt; DF2555 | BRADI &gt;&gt; 1061814 | BRECO &gt;&gt; 08514110 | BRECO &gt;&gt; 08514120 | BRECO &gt;&gt; BS7526 | INTERBRAKE &gt;&gt; BW231P | CAR &gt;&gt; 142128 | Brake ENGINEERING &gt;&gt; DI953270 | APEC braking &gt;&gt; DSK914 | FREMAX &gt;&gt; BD8042 | PILENGA &gt;&gt; 5124 | sbs &gt;&gt; 1815201518 | CIFAM &gt;&gt; 800187 | SAMKO &gt;&gt; B2231P | URPA &gt;&gt; 101299</t>
  </si>
  <si>
    <t>Centering Diameter [mm] &gt;&gt; 75 | Number of Holes &gt;&gt; 5 | Minimum Thickness [mm] &gt;&gt; 8,4 | Brake Disc Thickness [mm] &gt;&gt; 10 | Brake Disc Type &gt;&gt; Solid | Diameter [mm] &gt;&gt; 300 | for article number &gt;&gt; B2241P | Height [mm] &gt;&gt; 61</t>
  </si>
  <si>
    <t>BMW &gt;&gt; 34211156668 | BMW &gt;&gt; 34211162305 | ATE &gt;&gt; 24011001171 | PAGID &gt;&gt; 50411PRO | VALEO &gt;&gt; 186125 | BOSCH &gt;&gt; 0986478321 | TEXTAR &gt;&gt; 92042300 | JURID &gt;&gt; 561477J | BENDIX &gt;&gt; 561477B | FTE &gt;&gt; BS3640 | QUINTON HAZELL &gt;&gt; BDC3640 | FERODO &gt;&gt; DDF221 | BREMBO &gt;&gt; 08517430 | BREMBO &gt;&gt; 08517434 | BREMBO &gt;&gt; 08517420 | MINTEX &gt;&gt; MDC483 | ZIMMERMANN &gt;&gt; 150126700 | DELPHI &gt;&gt; BG431 | DELPHI &gt;&gt; BG2431 | METELLI &gt;&gt; 230189 | ROADHOUSE &gt;&gt; 634200 | REMSA &gt;&gt; 634200 | GRAF &gt;&gt; DF29189 | KWP &gt;&gt; 129189 | TRW &gt;&gt; DF2557 | BRADI &gt;&gt; 1061954 | BRECO &gt;&gt; 08517434 | BRECO &gt;&gt; 08517420 | BRECO &gt;&gt; 08517430 | BRECO &gt;&gt; BS7564 | INTERBRAKE &gt;&gt; BW241P | CAR &gt;&gt; 142114 | Brake ENGINEERING &gt;&gt; DI953280 | APEC braking &gt;&gt; DSK901 | FREMAX &gt;&gt; BD6668 | PILENGA &gt;&gt; V114 | PILENGA &gt;&gt; 5125 | CIFAM &gt;&gt; 800189 | SAMKO &gt;&gt; B2241P | URPA &gt;&gt; 101300</t>
  </si>
  <si>
    <t>Minimum Thickness [mm] &gt;&gt; 18,4 | Centering Diameter [mm] &gt;&gt; 75 | for article number &gt;&gt; B2251V | Number of Holes &gt;&gt; 5 | Brake Disc Type &gt;&gt; Internally Vented | Diameter [mm] &gt;&gt; 300 | Height [mm] &gt;&gt; 68 | Brake Disc Thickness [mm] &gt;&gt; 20</t>
  </si>
  <si>
    <t>BMW &gt;&gt; 34211155501 | BMW &gt;&gt; 34211162967 | BMW &gt;&gt; 34211163138 | ATE &gt;&gt; 24012001131 | PAGID &gt;&gt; 50425 | BOSCH &gt;&gt; 0986478320 | TEXTAR &gt;&gt; 92042700 | JURID &gt;&gt; 561525J | BENDIX &gt;&gt; 561525B | FTE &gt;&gt; BS3847 | QUINTON HAZELL &gt;&gt; BDC3847 | FERODO &gt;&gt; DDF520 | BREMBO &gt;&gt; 09550610 | MINTEX &gt;&gt; MDC478 | ZIMMERMANN &gt;&gt; 150126500 | DELPHI &gt;&gt; BG2436 | DELPHI &gt;&gt; BG436 | TRW &gt;&gt; DF1590 | BRADI &gt;&gt; 1062464 | BRECO &gt;&gt; BS8037 | BRECO &gt;&gt; 09550610 | INTERBRAKE &gt;&gt; BW251V | CAR &gt;&gt; 142105 | PILENGA &gt;&gt; V118 | SAMKO &gt;&gt; B2251V | URPA &gt;&gt; 101531</t>
  </si>
  <si>
    <t>Brake Disc Thickness [mm] &gt;&gt; 12 | for article number &gt;&gt; B2361P | Centering Diameter [mm] &gt;&gt; 79 | Minimum Thickness [mm] &gt;&gt; 10,4 | Brake Disc Type &gt;&gt; Solid | Height [mm] &gt;&gt; 52 | Diameter [mm] &gt;&gt; 286 | Number of Holes &gt;&gt; 5</t>
  </si>
  <si>
    <t>BMW &gt;&gt; 34111160673 | BMW &gt;&gt; 34116757750 | VALEO &gt;&gt; 186274 | JURID &gt;&gt; 561550J | BENDIX &gt;&gt; 561550B | FTE &gt;&gt; BS3803 | QUINTON HAZELL &gt;&gt; BDC3803 | FERODO &gt;&gt; DDF248 | BREMBO &gt;&gt; 08535914 | MINTEX &gt;&gt; MDC622 | DELPHI &gt;&gt; BG2622 | METELLI &gt;&gt; 230227 | ROADHOUSE &gt;&gt; 632300 | REMSA &gt;&gt; 632300 | TRUSTING &gt;&gt; DF027 | GRAF &gt;&gt; DF29227 | KWP &gt;&gt; 129227 | TRW &gt;&gt; DF1537 | BRADI &gt;&gt; 1063014 | BRECO &gt;&gt; BS7420 | BRECO &gt;&gt; 08535914 | INTERBRAKE &gt;&gt; BW361P | CAR &gt;&gt; 142112 | Brake ENGINEERING &gt;&gt; DI955154 | APEC braking &gt;&gt; DSK910 | FREMAX &gt;&gt; BD0673 | PILENGA &gt;&gt; 5129 | sbs &gt;&gt; 1815201524 | CIFAM &gt;&gt; 800227 | VILLAR &gt;&gt; 6280196 | SAMKO &gt;&gt; B2361P | URPA &gt;&gt; 101296</t>
  </si>
  <si>
    <t>Brake Disc Thickness [mm] &gt;&gt; 12 | for article number &gt;&gt; B2361PR | Centering Diameter [mm] &gt;&gt; 79 | Surface &gt;&gt; Coated | Brake Disc Type &gt;&gt; Solid | Height [mm] &gt;&gt; 52 | Diameter [mm] &gt;&gt; 286 | Minimum Thickness [mm] &gt;&gt; 10,4 | Number of Holes &gt;&gt; 5</t>
  </si>
  <si>
    <t>BMW &gt;&gt; 34116757750 | BMW &gt;&gt; 34111160673 | ATE &gt;&gt; 24011201261 | PAGID &gt;&gt; 50412 | BOSCH &gt;&gt; 0986478511 | TEXTAR &gt;&gt; 92055503 | BENDIX &gt;&gt; 561550BC | BREMBO &gt;&gt; 08535911 | ZIMMERMANN &gt;&gt; 150126820 | BRECO &gt;&gt; BV7420 | BRECO &gt;&gt; 08535911 | sbs &gt;&gt; 1815311524 | SAMKO &gt;&gt; B2361PR</t>
  </si>
  <si>
    <t>Brake Disc Type &gt;&gt; Solid | for article number &gt;&gt; B2371P | Centering Diameter [mm] &gt;&gt; 75 | Number of Holes &gt;&gt; 5 | Brake Disc Thickness [mm] &gt;&gt; 10 | Height [mm] &gt;&gt; 60 | Diameter [mm] &gt;&gt; 280 | Minimum Thickness [mm] &gt;&gt; 8,4</t>
  </si>
  <si>
    <t>BMW &gt;&gt; 34216855158 | BMW &gt;&gt; 34211158936 | BMW &gt;&gt; 34211162289 | BMW &gt;&gt; 34211165457 | VALEO &gt;&gt; 186295 | BOSCH &gt;&gt; 0986478561 | TEXTAR &gt;&gt; 92055700 | JURID &gt;&gt; 561552J | BENDIX &gt;&gt; 561552B | FTE &gt;&gt; BS3805 | QUINTON HAZELL &gt;&gt; BDC3805 | FERODO &gt;&gt; DDF249 | BREMBO &gt;&gt; 08536624 | BREMBO &gt;&gt; 08536620 | MINTEX &gt;&gt; MDC623 | DELPHI &gt;&gt; BG2624 | METELLI &gt;&gt; 230229 | ROADHOUSE &gt;&gt; 628400 | REMSA &gt;&gt; 628400 | TRUSTING &gt;&gt; DF128 | GRAF &gt;&gt; DF29229 | KWP &gt;&gt; 129229 | TRW &gt;&gt; DF1539 | BRADI &gt;&gt; 1063254 | BRECO &gt;&gt; 08536620 | BRECO &gt;&gt; 08536624 | INTERBRAKE &gt;&gt; BW371P | CAR &gt;&gt; 142109 | Brake ENGINEERING &gt;&gt; DI955156 | APEC braking &gt;&gt; DSK536 | FREMAX &gt;&gt; BD8936 | PILENGA &gt;&gt; 5128 | fri.tech. &gt;&gt; DF128 | sbs &gt;&gt; 1815201525 | CIFAM &gt;&gt; 800229 | SAMKO &gt;&gt; B2371P | URPA &gt;&gt; 101298</t>
  </si>
  <si>
    <t>Number of Holes &gt;&gt; 5 | Surface &gt;&gt; Coated | for article number &gt;&gt; B2371PR | Centering Diameter [mm] &gt;&gt; 75 | Brake Disc Thickness [mm] &gt;&gt; 10 | Brake Disc Type &gt;&gt; Solid | Minimum Thickness [mm] &gt;&gt; 8,4 | Diameter [mm] &gt;&gt; 280 | Height [mm] &gt;&gt; 60</t>
  </si>
  <si>
    <t>BMW &gt;&gt; 34211158936 | BMW &gt;&gt; 34211165457 | BMW &gt;&gt; 34211162289 | ATE &gt;&gt; 24011002021 | PAGID &gt;&gt; 50413PRO | TEXTAR &gt;&gt; 92055703 | ZIMMERMANN &gt;&gt; 150127020 | METELLI &gt;&gt; 230229C | GRAF &gt;&gt; DF29229C | CIFAM &gt;&gt; 800229C | SAMKO &gt;&gt; B2371PR</t>
  </si>
  <si>
    <t>Brake Disc Type &gt;&gt; Internally Vented | for article number &gt;&gt; B2381V | Centering Diameter [mm] &gt;&gt; 79 | Number of Holes &gt;&gt; 5 | Brake Disc Thickness [mm] &gt;&gt; 22 | Height [mm] &gt;&gt; 52 | Diameter [mm] &gt;&gt; 286 | Minimum Thickness [mm] &gt;&gt; 20,4</t>
  </si>
  <si>
    <t>BMW &gt;&gt; 34111164431 | BMW &gt;&gt; 34111160674 | BMW &gt;&gt; 34111162288 | BMW &gt;&gt; 34111164199 | BMW &gt;&gt; 34111162282 | BMW &gt;&gt; 34111164921 | BMW &gt;&gt; 34116794301 | BMW &gt;&gt; 34116855153 | BMW &gt;&gt; 34111165455 | BMW &gt;&gt; 34116766239 | VALEO &gt;&gt; 186275 | TEXTAR &gt;&gt; 92055600 | JURID &gt;&gt; 561551J | BENDIX &gt;&gt; 561551B | FTE &gt;&gt; BS3804 | QUINTON HAZELL &gt;&gt; BDC3804 | FERODO &gt;&gt; DDF258 | BREMBO &gt;&gt; 09539034 | BREMBO &gt;&gt; 09539010 | MINTEX &gt;&gt; MDC624 | DELPHI &gt;&gt; BG2623 | METELLI &gt;&gt; 230474 | ROADHOUSE &gt;&gt; 632410 | REMSA &gt;&gt; 632410 | TRUSTING &gt;&gt; DF283 | GRAF &gt;&gt; DF29474 | KWP &gt;&gt; 129474 | TRW &gt;&gt; DF1538 | BRADI &gt;&gt; 1063124 | BRECO &gt;&gt; 09539034 | BRECO &gt;&gt; BS8396 | BRECO &gt;&gt; 09539010 | INTERBRAKE &gt;&gt; BW381V | CAR &gt;&gt; 142113 | Brake ENGINEERING &gt;&gt; DI955416 | Brake ENGINEERING &gt;&gt; DI955155 | APEC braking &gt;&gt; DSK918 | APEC braking &gt;&gt; DSK2004 | FREMAX &gt;&gt; BD0674 | PILENGA &gt;&gt; V119 | fri.tech. &gt;&gt; DF283 | sbs &gt;&gt; 1815201521 | CIFAM &gt;&gt; 800474 | VILLAR &gt;&gt; 6280197 | SAMKO &gt;&gt; B2381V | URPA &gt;&gt; 101297</t>
  </si>
  <si>
    <t>Brake Disc Thickness [mm] &gt;&gt; 22 | Surface &gt;&gt; Coated | for article number &gt;&gt; B2381VR | Centering Diameter [mm] &gt;&gt; 79 | Brake Disc Type &gt;&gt; Internally Vented | Height [mm] &gt;&gt; 52 | Diameter [mm] &gt;&gt; 286 | Minimum Thickness [mm] &gt;&gt; 20,4 | Number of Holes &gt;&gt; 5</t>
  </si>
  <si>
    <t>BMW &gt;&gt; 34111162282 | BMW &gt;&gt; 34111164921 | BMW &gt;&gt; 34111160674 | BMW &gt;&gt; 34116766239 | BMW &gt;&gt; 34111165455 | BMW &gt;&gt; 34111162288 | BMW &gt;&gt; 34111164199 | BMW &gt;&gt; 34111164431 | ATE &gt;&gt; 24012201151 | PAGID &gt;&gt; 50424PRO | BOSCH &gt;&gt; 0986478513 | TEXTAR &gt;&gt; 92055605 | BREMBO &gt;&gt; 09539031 | ZIMMERMANN &gt;&gt; 150126920 | METELLI &gt;&gt; 230474C | GRAF &gt;&gt; DF29474C | BRECO &gt;&gt; 09539031 | BRECO &gt;&gt; BV8396 | CIFAM &gt;&gt; 800474C | SAMKO &gt;&gt; B2381VR</t>
  </si>
  <si>
    <t>Brake Disc Type &gt;&gt; Internally Vented | for article number &gt;&gt; B2391V | Centering Diameter [mm] &gt;&gt; 79 | Number of Holes &gt;&gt; 5 | Brake Disc Thickness [mm] &gt;&gt; 30 | Height [mm] &gt;&gt; 77 | Diameter [mm] &gt;&gt; 324 | Minimum Thickness [mm] &gt;&gt; 28,4</t>
  </si>
  <si>
    <t>BMW &gt;&gt; 34111159895 | BMW &gt;&gt; 34111159910 | BMW &gt;&gt; 34116757746 | BMW &gt;&gt; 34111159916 | ATE &gt;&gt; 24013001011 | PAGID &gt;&gt; 50426 | BOSCH &gt;&gt; 0986478127 | TEXTAR &gt;&gt; 92058300 | JURID &gt;&gt; 561553J | BENDIX &gt;&gt; 561553B | FTE &gt;&gt; BS4513 | QUINTON HAZELL &gt;&gt; BDC4636 | FERODO &gt;&gt; DDF606 | BREMBO &gt;&gt; 09557910 | MINTEX &gt;&gt; MDC833 | ZIMMERMANN &gt;&gt; 150127100 | DELPHI &gt;&gt; BG670 | METELLI &gt;&gt; 230703 | ROADHOUSE &gt;&gt; 651110 | REMSA &gt;&gt; 651110 | GRAF &gt;&gt; DF29703 | TRW &gt;&gt; DF2602 | BRADI &gt;&gt; 1063424 | BRECO &gt;&gt; BS8057 | BRECO &gt;&gt; 09557910 | INTERBRAKE &gt;&gt; BW391V | CAR &gt;&gt; 142103 | Brake ENGINEERING &gt;&gt; DI955076 | APEC braking &gt;&gt; DSK2008 | FREMAX &gt;&gt; BD9895 | PILENGA &gt;&gt; V126 | sbs &gt;&gt; 1815201532 | CIFAM &gt;&gt; 800703 | SAMKO &gt;&gt; B2391V | URPA &gt;&gt; 101430</t>
  </si>
  <si>
    <t>Brake Disc Thickness [mm] &gt;&gt; 12 | Brake System &gt;&gt; SUMITOMO | for article number &gt;&gt; B2401P | Centering Diameter [mm] &gt;&gt; 75 | Number of Holes &gt;&gt; 5 | Brake Disc Type &gt;&gt; Solid | Height [mm] &gt;&gt; 61 | Diameter [mm] &gt;&gt; 324 | Minimum Thickness [mm] &gt;&gt; 10,4</t>
  </si>
  <si>
    <t>BMW &gt;&gt; 34216757748 | BMW &gt;&gt; 34211157953 | BMW &gt;&gt; 34211159900 | BMW &gt;&gt; 34211159953 | ATE &gt;&gt; 24011201321 | PAGID &gt;&gt; 50416 | BOSCH &gt;&gt; 0986478095 | TEXTAR &gt;&gt; 92058400 | JURID &gt;&gt; 561554J | BENDIX &gt;&gt; 561554B | FTE &gt;&gt; BS4514 | QUINTON HAZELL &gt;&gt; BDC4751 | FERODO &gt;&gt; DDF553 | BREMBO &gt;&gt; 08558010 | MINTEX &gt;&gt; MDC834 | ZIMMERMANN &gt;&gt; 150127200 | DELPHI &gt;&gt; BG2671 | METELLI &gt;&gt; 230400 | ROADHOUSE &gt;&gt; 651000 | REMSA &gt;&gt; 651000 | GRAF &gt;&gt; DF29400 | KWP &gt;&gt; 129400L | KWP &gt;&gt; 129400 | TRW &gt;&gt; DF1597 | BRADI &gt;&gt; 1063554 | BRECO &gt;&gt; BS7434 | BRECO &gt;&gt; 08558010 | INTERBRAKE &gt;&gt; BW401P | CAR &gt;&gt; 142097 | Brake ENGINEERING &gt;&gt; DI955077 | APEC braking &gt;&gt; DSK2010 | PILENGA &gt;&gt; 5110 | sbs &gt;&gt; 1815201533 | CIFAM &gt;&gt; 800400 | SAMKO &gt;&gt; B2401P | URPA &gt;&gt; 101432</t>
  </si>
  <si>
    <t>Brake Disc Type &gt;&gt; Internally Vented | for article number &gt;&gt; B2411V | Centering Diameter [mm] &gt;&gt; 79 | Number of Holes &gt;&gt; 5 | Brake Disc Thickness [mm] &gt;&gt; 28 | Height [mm] &gt;&gt; 77 | Diameter [mm] &gt;&gt; 316 | Minimum Thickness [mm] &gt;&gt; 26,4</t>
  </si>
  <si>
    <t>BMW &gt;&gt; 34111162093 | BMW &gt;&gt; 34116757752 | ATE &gt;&gt; 24012801051 | PAGID &gt;&gt; 50429PRO | VALEO &gt;&gt; 186630 | BOSCH &gt;&gt; 0986478622 | TEXTAR &gt;&gt; 92071400 | JURID &gt;&gt; 561948J | BENDIX &gt;&gt; 561948B | QUINTON HAZELL &gt;&gt; BDC4561 | FERODO &gt;&gt; DDF624 | BREMBO &gt;&gt; 09587510 | MINTEX &gt;&gt; MDC832 | ZIMMERMANN &gt;&gt; 150127900 | DELPHI &gt;&gt; BG3039 | METELLI &gt;&gt; 230399 | ROADHOUSE &gt;&gt; 650910 | REMSA &gt;&gt; 650910 | GRAF &gt;&gt; DF29399 | KWP &gt;&gt; 129399L | TRW &gt;&gt; DF2687 | BRADI &gt;&gt; 1063324 | BRECO &gt;&gt; BS8143 | BRECO &gt;&gt; 09587510 | INTERBRAKE &gt;&gt; BW411V | CAR &gt;&gt; 142104 | Brake ENGINEERING &gt;&gt; DI955490 | APEC braking &gt;&gt; DSK2006 | FREMAX &gt;&gt; BD2093 | PILENGA &gt;&gt; V122 | sbs &gt;&gt; 1815201534 | CIFAM &gt;&gt; 800399 | SAMKO &gt;&gt; B2411V | URPA &gt;&gt; 101431</t>
  </si>
  <si>
    <t>Brake Disc Thickness [mm] &gt;&gt; 19 | Centering Diameter [mm] &gt;&gt; 75 | for article number &gt;&gt; B2431V | Minimum Thickness [mm] &gt;&gt; 17,4 | Height [mm] &gt;&gt; 60 | Diameter [mm] &gt;&gt; 276 | Number of Holes &gt;&gt; 5 | Brake Disc Type &gt;&gt; Internally Vented</t>
  </si>
  <si>
    <t>BMW &gt;&gt; 34211162315 | BMW &gt;&gt; 34211165211 | BMW &gt;&gt; 34216855155 | VALEO &gt;&gt; 186559 | JURID &gt;&gt; 562003J | BENDIX &gt;&gt; 562003B | FTE &gt;&gt; BS4536 | QUINTON HAZELL &gt;&gt; BDC4536 | FERODO &gt;&gt; DDF831 | BREMBO &gt;&gt; 09772710 | MINTEX &gt;&gt; MDC1053 | DELPHI &gt;&gt; BG3041 | ROADHOUSE &gt;&gt; 645810 | REMSA &gt;&gt; 645810 | GRAF &gt;&gt; DF29450 | KWP &gt;&gt; 129450 | BRADI &gt;&gt; 1063964 | BRECO &gt;&gt; BS8337 | BRECO &gt;&gt; 09772710 | INTERBRAKE &gt;&gt; BW431V | CAR &gt;&gt; 142096 | Brake ENGINEERING &gt;&gt; DI955543 | APEC braking &gt;&gt; DSK681 | FREMAX &gt;&gt; BD2315 | PILENGA &gt;&gt; V127 | sbs &gt;&gt; 1815201535 | SAMKO &gt;&gt; B2431V | URPA &gt;&gt; 101794</t>
  </si>
  <si>
    <t>Brake Disc Thickness [mm] &gt;&gt; 19 | Surface &gt;&gt; Coated | for article number &gt;&gt; B2431VR | Centering Diameter [mm] &gt;&gt; 75 | Minimum Thickness [mm] &gt;&gt; 17,4 | Brake Disc Type &gt;&gt; Internally Vented | Height [mm] &gt;&gt; 60 | Diameter [mm] &gt;&gt; 276 | Number of Holes &gt;&gt; 5</t>
  </si>
  <si>
    <t>BMW &gt;&gt; 34211165211 | BMW &gt;&gt; 34211162315 | BMW &gt;&gt; 34216855155 | ATE &gt;&gt; 24011901071 | PAGID &gt;&gt; 50436 | BOSCH &gt;&gt; 0986478642 | TEXTAR &gt;&gt; 92072403 | BENDIX &gt;&gt; 562003BC | BREMBO &gt;&gt; 09772711 | METELLI &gt;&gt; 230450C | TRW &gt;&gt; DF2767 | BRECO &gt;&gt; BV8337 | BRECO &gt;&gt; 09772711 | sbs &gt;&gt; 1815311535 | CIFAM &gt;&gt; 800450C | SAMKO &gt;&gt; B2431VR</t>
  </si>
  <si>
    <t>Height [mm] &gt;&gt; 76 | Centering Diameter [mm] &gt;&gt; 79 | for article number &gt;&gt; B2441V | Number of Holes &gt;&gt; 5 | Brake Disc Type &gt;&gt; Internally Vented | Diameter [mm] &gt;&gt; 296 | Minimum Thickness [mm] &gt;&gt; 20,4 | Brake Disc Thickness [mm] &gt;&gt; 22</t>
  </si>
  <si>
    <t>BMW &gt;&gt; 34111163013 | BMW &gt;&gt; 34111163081 | BMW &gt;&gt; 34111164839 | BMW &gt;&gt; 34116767061 | VALEO &gt;&gt; 186697 | TEXTAR &gt;&gt; 92075000 | JURID &gt;&gt; 562035J | BENDIX &gt;&gt; 562035B | QUINTON HAZELL &gt;&gt; BDC4623 | FERODO &gt;&gt; DDF834 | BREMBO &gt;&gt; 09692414 | BREMBO &gt;&gt; 09692410 | MINTEX &gt;&gt; MDC989 | DELPHI &gt;&gt; BG3043 | METELLI &gt;&gt; 230396 | ROADHOUSE &gt;&gt; 651410 | REMSA &gt;&gt; 651410 | GRAF &gt;&gt; DF29396 | KWP &gt;&gt; 129396L | TRW &gt;&gt; DF2769 | BRADI &gt;&gt; 1063624 | BRECO &gt;&gt; BS8256 | BRECO &gt;&gt; 09692410 | BRECO &gt;&gt; 09692414 | INTERBRAKE &gt;&gt; BW441V | CAR &gt;&gt; 142101 | Brake ENGINEERING &gt;&gt; DI955610 | APEC braking &gt;&gt; DSK934 | PILENGA &gt;&gt; V124 | sbs &gt;&gt; 1815201536 | CIFAM &gt;&gt; 800396 | VILLAR &gt;&gt; 6280220 | SAMKO &gt;&gt; B2441V | URPA &gt;&gt; 101570</t>
  </si>
  <si>
    <t>Brake Disc Thickness [mm] &gt;&gt; 22 | Surface &gt;&gt; Coated | for article number &gt;&gt; B2441VR | Centering Diameter [mm] &gt;&gt; 79 | Minimum Thickness [mm] &gt;&gt; 20,4 | Brake Disc Type &gt;&gt; Internally Vented | Height [mm] &gt;&gt; 76 | Diameter [mm] &gt;&gt; 296 | Number of Holes &gt;&gt; 5</t>
  </si>
  <si>
    <t>BMW &gt;&gt; 34111163081 | BMW &gt;&gt; 34111163013 | BMW &gt;&gt; 34111164839 | BMW &gt;&gt; 34116767061 | ATE &gt;&gt; 24012201591 | PAGID &gt;&gt; 50439PRO | BOSCH &gt;&gt; 0986478848 | TEXTAR &gt;&gt; 92075005 | BREMBO &gt;&gt; 09692411 | ZIMMERMANN &gt;&gt; 150128420 | METELLI &gt;&gt; 230396C | GRAF &gt;&gt; DF29396C | BRECO &gt;&gt; 09692411 | BRECO &gt;&gt; BV8256 | FREMAX &gt;&gt; BD4839 | CIFAM &gt;&gt; 800396C | SAMKO &gt;&gt; B2441VR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</si>
</sst>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8"/>
  <sheetViews>
    <sheetView tabSelected="1" workbookViewId="0">
      <selection activeCell="J11" sqref="J11"/>
    </sheetView>
  </sheetViews>
  <sheetFormatPr defaultRowHeight="15"/>
  <cols>
    <col min="10" max="10" width="32.7109375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>
      <c r="A2" t="s">
        <v>11</v>
      </c>
      <c r="B2">
        <v>135</v>
      </c>
      <c r="C2" t="s">
        <v>12</v>
      </c>
      <c r="D2" t="str">
        <f>"20242"</f>
        <v>20242</v>
      </c>
      <c r="E2" t="str">
        <f>"20242"</f>
        <v>20242</v>
      </c>
      <c r="F2" t="str">
        <f>""</f>
        <v/>
      </c>
      <c r="G2" t="str">
        <f>""</f>
        <v/>
      </c>
      <c r="H2" t="str">
        <f>"No longer supplied by manufacturer"</f>
        <v>No longer supplied by manufacturer</v>
      </c>
      <c r="I2">
        <v>1</v>
      </c>
    </row>
    <row r="3" spans="1:11">
      <c r="A3" t="s">
        <v>11</v>
      </c>
      <c r="B3">
        <v>135</v>
      </c>
      <c r="C3" t="s">
        <v>12</v>
      </c>
      <c r="D3" t="str">
        <f>"20243"</f>
        <v>20243</v>
      </c>
      <c r="E3" t="str">
        <f>"20243"</f>
        <v>20243</v>
      </c>
      <c r="F3" t="str">
        <f>""</f>
        <v/>
      </c>
      <c r="G3" t="str">
        <f>""</f>
        <v/>
      </c>
      <c r="H3" t="str">
        <f>"No longer supplied by manufacturer"</f>
        <v>No longer supplied by manufacturer</v>
      </c>
      <c r="I3">
        <v>2</v>
      </c>
    </row>
    <row r="4" spans="1:11">
      <c r="A4" t="s">
        <v>11</v>
      </c>
      <c r="B4">
        <v>135</v>
      </c>
      <c r="C4" t="s">
        <v>12</v>
      </c>
      <c r="D4" t="str">
        <f>"20244"</f>
        <v>20244</v>
      </c>
      <c r="E4" t="str">
        <f>"20244"</f>
        <v>20244</v>
      </c>
      <c r="F4" t="str">
        <f>""</f>
        <v/>
      </c>
      <c r="G4" t="str">
        <f>""</f>
        <v/>
      </c>
      <c r="H4" t="str">
        <f>"No longer supplied by manufacturer"</f>
        <v>No longer supplied by manufacturer</v>
      </c>
      <c r="I4">
        <v>3</v>
      </c>
    </row>
    <row r="5" spans="1:11">
      <c r="A5" t="s">
        <v>11</v>
      </c>
      <c r="B5">
        <v>135</v>
      </c>
      <c r="C5" t="s">
        <v>12</v>
      </c>
      <c r="D5" t="str">
        <f>"20246"</f>
        <v>20246</v>
      </c>
      <c r="E5" t="str">
        <f>"20246"</f>
        <v>20246</v>
      </c>
      <c r="F5" t="str">
        <f>""</f>
        <v/>
      </c>
      <c r="G5" t="str">
        <f>""</f>
        <v/>
      </c>
      <c r="H5" t="str">
        <f>"No longer supplied by manufacturer"</f>
        <v>No longer supplied by manufacturer</v>
      </c>
      <c r="I5">
        <v>4</v>
      </c>
    </row>
    <row r="6" spans="1:11">
      <c r="A6" t="s">
        <v>13</v>
      </c>
      <c r="B6">
        <v>135</v>
      </c>
      <c r="C6" t="s">
        <v>12</v>
      </c>
      <c r="D6" t="str">
        <f>"14210"</f>
        <v>14210</v>
      </c>
      <c r="E6" t="str">
        <f>"14210"</f>
        <v>14210</v>
      </c>
      <c r="F6" t="str">
        <f>""</f>
        <v/>
      </c>
      <c r="G6" t="str">
        <f>"5413978101108"</f>
        <v>5413978101108</v>
      </c>
      <c r="H6" t="str">
        <f>"Article to be discontinued"</f>
        <v>Article to be discontinued</v>
      </c>
      <c r="I6">
        <v>5</v>
      </c>
      <c r="J6" t="s">
        <v>14</v>
      </c>
      <c r="K6" t="s">
        <v>15</v>
      </c>
    </row>
    <row r="7" spans="1:11">
      <c r="A7" t="s">
        <v>11</v>
      </c>
      <c r="B7">
        <v>135</v>
      </c>
      <c r="C7" t="s">
        <v>12</v>
      </c>
      <c r="D7" t="str">
        <f>"14240"</f>
        <v>14240</v>
      </c>
      <c r="E7" t="str">
        <f>"14240"</f>
        <v>14240</v>
      </c>
      <c r="F7" t="str">
        <f>""</f>
        <v/>
      </c>
      <c r="G7" t="str">
        <f>""</f>
        <v/>
      </c>
      <c r="H7" t="str">
        <f>"No longer supplied by manufacturer"</f>
        <v>No longer supplied by manufacturer</v>
      </c>
      <c r="I7">
        <v>6</v>
      </c>
      <c r="K7" t="s">
        <v>16</v>
      </c>
    </row>
    <row r="8" spans="1:11">
      <c r="A8" t="s">
        <v>11</v>
      </c>
      <c r="B8">
        <v>135</v>
      </c>
      <c r="C8" t="s">
        <v>12</v>
      </c>
      <c r="D8" t="str">
        <f>"14241"</f>
        <v>14241</v>
      </c>
      <c r="E8" t="str">
        <f>"14241"</f>
        <v>14241</v>
      </c>
      <c r="F8" t="str">
        <f>""</f>
        <v/>
      </c>
      <c r="G8" t="str">
        <f>""</f>
        <v/>
      </c>
      <c r="H8" t="str">
        <f>"No longer supplied by manufacturer"</f>
        <v>No longer supplied by manufacturer</v>
      </c>
      <c r="I8">
        <v>7</v>
      </c>
    </row>
    <row r="9" spans="1:11">
      <c r="A9" t="s">
        <v>11</v>
      </c>
      <c r="B9">
        <v>135</v>
      </c>
      <c r="C9" t="s">
        <v>12</v>
      </c>
      <c r="D9" t="str">
        <f>"14244"</f>
        <v>14244</v>
      </c>
      <c r="E9" t="str">
        <f>"14244"</f>
        <v>14244</v>
      </c>
      <c r="F9" t="str">
        <f>""</f>
        <v/>
      </c>
      <c r="G9" t="str">
        <f>""</f>
        <v/>
      </c>
      <c r="H9" t="str">
        <f>"No longer supplied by manufacturer"</f>
        <v>No longer supplied by manufacturer</v>
      </c>
      <c r="I9">
        <v>8</v>
      </c>
    </row>
    <row r="10" spans="1:11">
      <c r="A10" t="s">
        <v>11</v>
      </c>
      <c r="B10">
        <v>135</v>
      </c>
      <c r="C10" t="s">
        <v>12</v>
      </c>
      <c r="D10" t="str">
        <f>"14247"</f>
        <v>14247</v>
      </c>
      <c r="E10" t="str">
        <f>"14247"</f>
        <v>14247</v>
      </c>
      <c r="F10" t="str">
        <f>""</f>
        <v/>
      </c>
      <c r="G10" t="str">
        <f>""</f>
        <v/>
      </c>
      <c r="H10" t="str">
        <f>"No longer supplied by manufacturer"</f>
        <v>No longer supplied by manufacturer</v>
      </c>
      <c r="I10">
        <v>9</v>
      </c>
      <c r="K10" t="s">
        <v>17</v>
      </c>
    </row>
    <row r="11" spans="1:11">
      <c r="A11" t="s">
        <v>13</v>
      </c>
      <c r="B11">
        <v>135</v>
      </c>
      <c r="C11" t="s">
        <v>12</v>
      </c>
      <c r="D11" t="str">
        <f>"14312"</f>
        <v>14312</v>
      </c>
      <c r="E11" t="str">
        <f>"14312"</f>
        <v>14312</v>
      </c>
      <c r="F11" t="str">
        <f>""</f>
        <v/>
      </c>
      <c r="G11" t="str">
        <f>"5413978101986"</f>
        <v>5413978101986</v>
      </c>
      <c r="H11" t="str">
        <f>"No longer supplied by manufacturer"</f>
        <v>No longer supplied by manufacturer</v>
      </c>
      <c r="I11">
        <v>10</v>
      </c>
      <c r="J11" t="s">
        <v>18</v>
      </c>
      <c r="K11" t="s">
        <v>19</v>
      </c>
    </row>
    <row r="12" spans="1:11">
      <c r="A12" t="s">
        <v>13</v>
      </c>
      <c r="B12">
        <v>135</v>
      </c>
      <c r="C12" t="s">
        <v>12</v>
      </c>
      <c r="D12" t="str">
        <f>"14313"</f>
        <v>14313</v>
      </c>
      <c r="E12" t="str">
        <f>"14313"</f>
        <v>14313</v>
      </c>
      <c r="F12" t="str">
        <f>""</f>
        <v/>
      </c>
      <c r="G12" t="str">
        <f>"5413978101993"</f>
        <v>5413978101993</v>
      </c>
      <c r="H12" t="str">
        <f>"Article to be discontinued"</f>
        <v>Article to be discontinued</v>
      </c>
      <c r="I12">
        <v>11</v>
      </c>
      <c r="J12" t="s">
        <v>20</v>
      </c>
      <c r="K12" t="s">
        <v>21</v>
      </c>
    </row>
    <row r="13" spans="1:11">
      <c r="A13" t="s">
        <v>22</v>
      </c>
      <c r="B13">
        <v>135</v>
      </c>
      <c r="C13" t="s">
        <v>12</v>
      </c>
      <c r="D13" t="str">
        <f>"14321"</f>
        <v>14321</v>
      </c>
      <c r="E13" t="str">
        <f>"14321"</f>
        <v>14321</v>
      </c>
      <c r="F13" t="str">
        <f>""</f>
        <v/>
      </c>
      <c r="G13" t="str">
        <f>"5413978102020"</f>
        <v>5413978102020</v>
      </c>
      <c r="H13" t="str">
        <f>"Article to be discontinued"</f>
        <v>Article to be discontinued</v>
      </c>
      <c r="I13">
        <v>12</v>
      </c>
      <c r="J13" t="s">
        <v>23</v>
      </c>
      <c r="K13" t="s">
        <v>24</v>
      </c>
    </row>
    <row r="14" spans="1:11">
      <c r="A14" t="s">
        <v>25</v>
      </c>
      <c r="B14">
        <v>135</v>
      </c>
      <c r="C14" t="s">
        <v>12</v>
      </c>
      <c r="D14" t="str">
        <f>"14329"</f>
        <v>14329</v>
      </c>
      <c r="E14" t="str">
        <f>"14329"</f>
        <v>14329</v>
      </c>
      <c r="F14" t="str">
        <f>""</f>
        <v/>
      </c>
      <c r="G14" t="str">
        <f>"5413978102075"</f>
        <v>5413978102075</v>
      </c>
      <c r="H14" t="str">
        <f>"Article to be discontinued"</f>
        <v>Article to be discontinued</v>
      </c>
      <c r="I14">
        <v>13</v>
      </c>
      <c r="J14" t="s">
        <v>26</v>
      </c>
      <c r="K14" t="s">
        <v>27</v>
      </c>
    </row>
    <row r="15" spans="1:11">
      <c r="A15" t="s">
        <v>28</v>
      </c>
      <c r="B15">
        <v>135</v>
      </c>
      <c r="C15" t="s">
        <v>12</v>
      </c>
      <c r="D15" t="str">
        <f>"14365"</f>
        <v>14365</v>
      </c>
      <c r="E15" t="str">
        <f>"14365"</f>
        <v>14365</v>
      </c>
      <c r="F15" t="str">
        <f>""</f>
        <v/>
      </c>
      <c r="G15" t="str">
        <f>""</f>
        <v/>
      </c>
      <c r="H15" t="str">
        <f>"No longer supplied by manufacturer"</f>
        <v>No longer supplied by manufacturer</v>
      </c>
      <c r="I15">
        <v>14</v>
      </c>
    </row>
    <row r="16" spans="1:11">
      <c r="A16" t="s">
        <v>29</v>
      </c>
      <c r="B16">
        <v>135</v>
      </c>
      <c r="C16" t="s">
        <v>12</v>
      </c>
      <c r="D16" t="str">
        <f>"14371"</f>
        <v>14371</v>
      </c>
      <c r="E16" t="str">
        <f>"14371"</f>
        <v>14371</v>
      </c>
      <c r="F16" t="str">
        <f>""</f>
        <v/>
      </c>
      <c r="G16" t="str">
        <f>"5413978102327"</f>
        <v>5413978102327</v>
      </c>
      <c r="H16" t="str">
        <f>"Article to be discontinued"</f>
        <v>Article to be discontinued</v>
      </c>
      <c r="I16">
        <v>15</v>
      </c>
      <c r="J16" t="s">
        <v>30</v>
      </c>
      <c r="K16" t="s">
        <v>31</v>
      </c>
    </row>
    <row r="17" spans="1:11">
      <c r="A17" t="s">
        <v>29</v>
      </c>
      <c r="B17">
        <v>135</v>
      </c>
      <c r="C17" t="s">
        <v>12</v>
      </c>
      <c r="D17" t="str">
        <f>"14374"</f>
        <v>14374</v>
      </c>
      <c r="E17" t="str">
        <f>"14374"</f>
        <v>14374</v>
      </c>
      <c r="F17" t="str">
        <f>""</f>
        <v/>
      </c>
      <c r="G17" t="str">
        <f>"5413978102341"</f>
        <v>5413978102341</v>
      </c>
      <c r="H17" t="str">
        <f>"Article to be discontinued"</f>
        <v>Article to be discontinued</v>
      </c>
      <c r="I17">
        <v>16</v>
      </c>
      <c r="J17" t="s">
        <v>32</v>
      </c>
      <c r="K17" t="s">
        <v>33</v>
      </c>
    </row>
    <row r="18" spans="1:11">
      <c r="A18" t="s">
        <v>34</v>
      </c>
      <c r="B18">
        <v>135</v>
      </c>
      <c r="C18" t="s">
        <v>12</v>
      </c>
      <c r="D18" t="str">
        <f>"14381KITSR"</f>
        <v>14381KITSR</v>
      </c>
      <c r="E18" t="str">
        <f>"14381 KIT SR"</f>
        <v>14381 KIT SR</v>
      </c>
      <c r="F18" t="str">
        <f>"14381 KIT"</f>
        <v>14381 KIT</v>
      </c>
      <c r="G18" t="str">
        <f>"5413978211883"</f>
        <v>5413978211883</v>
      </c>
      <c r="H18" t="str">
        <f>"Normal"</f>
        <v>Normal</v>
      </c>
      <c r="I18">
        <v>17</v>
      </c>
      <c r="J18" t="s">
        <v>35</v>
      </c>
      <c r="K18" t="s">
        <v>36</v>
      </c>
    </row>
    <row r="19" spans="1:11">
      <c r="A19" t="s">
        <v>37</v>
      </c>
      <c r="B19">
        <v>135</v>
      </c>
      <c r="C19" t="s">
        <v>12</v>
      </c>
      <c r="D19" t="str">
        <f>"17001"</f>
        <v>17001</v>
      </c>
      <c r="E19" t="str">
        <f>"17001"</f>
        <v>17001</v>
      </c>
      <c r="F19" t="str">
        <f>""</f>
        <v/>
      </c>
      <c r="G19" t="str">
        <f>"5413978228430"</f>
        <v>5413978228430</v>
      </c>
      <c r="H19" t="str">
        <f>"in Preparation"</f>
        <v>in Preparation</v>
      </c>
      <c r="I19">
        <v>18</v>
      </c>
      <c r="J19" t="s">
        <v>38</v>
      </c>
    </row>
    <row r="20" spans="1:11">
      <c r="A20" t="s">
        <v>11</v>
      </c>
      <c r="B20">
        <v>135</v>
      </c>
      <c r="C20" t="s">
        <v>12</v>
      </c>
      <c r="D20" t="str">
        <f>"44047"</f>
        <v>44047</v>
      </c>
      <c r="E20" t="str">
        <f>"44047"</f>
        <v>44047</v>
      </c>
      <c r="F20" t="str">
        <f>""</f>
        <v/>
      </c>
      <c r="G20" t="str">
        <f>""</f>
        <v/>
      </c>
      <c r="H20" t="str">
        <f>"No longer supplied by manufacturer"</f>
        <v>No longer supplied by manufacturer</v>
      </c>
      <c r="I20">
        <v>19</v>
      </c>
    </row>
    <row r="21" spans="1:11">
      <c r="A21" t="s">
        <v>34</v>
      </c>
      <c r="B21">
        <v>135</v>
      </c>
      <c r="C21" t="s">
        <v>12</v>
      </c>
      <c r="D21" t="str">
        <f>"44187KIT"</f>
        <v>44187KIT</v>
      </c>
      <c r="E21" t="str">
        <f>"44187 KIT"</f>
        <v>44187 KIT</v>
      </c>
      <c r="F21" t="str">
        <f>""</f>
        <v/>
      </c>
      <c r="G21" t="str">
        <f>"5413978236602"</f>
        <v>5413978236602</v>
      </c>
      <c r="H21" t="str">
        <f>"Normal"</f>
        <v>Normal</v>
      </c>
      <c r="I21">
        <v>20</v>
      </c>
      <c r="J21" t="s">
        <v>39</v>
      </c>
      <c r="K21" t="s">
        <v>40</v>
      </c>
    </row>
    <row r="22" spans="1:11">
      <c r="A22" t="s">
        <v>13</v>
      </c>
      <c r="B22">
        <v>135</v>
      </c>
      <c r="C22" t="s">
        <v>12</v>
      </c>
      <c r="D22" t="str">
        <f>"50512"</f>
        <v>50512</v>
      </c>
      <c r="E22" t="str">
        <f>"50512"</f>
        <v>50512</v>
      </c>
      <c r="F22" t="str">
        <f>""</f>
        <v/>
      </c>
      <c r="G22" t="str">
        <f>"5413978124978"</f>
        <v>5413978124978</v>
      </c>
      <c r="H22" t="str">
        <f>"Article to be discontinued"</f>
        <v>Article to be discontinued</v>
      </c>
      <c r="I22">
        <v>21</v>
      </c>
      <c r="J22" t="s">
        <v>41</v>
      </c>
      <c r="K22" t="s">
        <v>42</v>
      </c>
    </row>
    <row r="23" spans="1:11">
      <c r="A23" t="s">
        <v>13</v>
      </c>
      <c r="B23">
        <v>135</v>
      </c>
      <c r="C23" t="s">
        <v>12</v>
      </c>
      <c r="D23" t="str">
        <f>"50514"</f>
        <v>50514</v>
      </c>
      <c r="E23" t="str">
        <f>"50514"</f>
        <v>50514</v>
      </c>
      <c r="F23" t="str">
        <f>""</f>
        <v/>
      </c>
      <c r="G23" t="str">
        <f>"5413978124985"</f>
        <v>5413978124985</v>
      </c>
      <c r="H23" t="str">
        <f>"Article to be discontinued"</f>
        <v>Article to be discontinued</v>
      </c>
      <c r="I23">
        <v>22</v>
      </c>
      <c r="J23" t="s">
        <v>43</v>
      </c>
      <c r="K23" t="s">
        <v>44</v>
      </c>
    </row>
    <row r="24" spans="1:11">
      <c r="A24" t="s">
        <v>11</v>
      </c>
      <c r="B24">
        <v>135</v>
      </c>
      <c r="C24" t="s">
        <v>12</v>
      </c>
      <c r="D24" t="str">
        <f>"50640"</f>
        <v>50640</v>
      </c>
      <c r="E24" t="str">
        <f>"50640"</f>
        <v>50640</v>
      </c>
      <c r="F24" t="str">
        <f>""</f>
        <v/>
      </c>
      <c r="G24" t="str">
        <f>""</f>
        <v/>
      </c>
      <c r="H24" t="str">
        <f>"No longer supplied by manufacturer"</f>
        <v>No longer supplied by manufacturer</v>
      </c>
      <c r="I24">
        <v>23</v>
      </c>
    </row>
    <row r="25" spans="1:11">
      <c r="A25" t="s">
        <v>13</v>
      </c>
      <c r="B25">
        <v>135</v>
      </c>
      <c r="C25" t="s">
        <v>12</v>
      </c>
      <c r="D25" t="str">
        <f>"50711"</f>
        <v>50711</v>
      </c>
      <c r="E25" t="str">
        <f>"50711"</f>
        <v>50711</v>
      </c>
      <c r="F25" t="str">
        <f>""</f>
        <v/>
      </c>
      <c r="G25" t="str">
        <f>"5413978125388"</f>
        <v>5413978125388</v>
      </c>
      <c r="H25" t="str">
        <f t="shared" ref="H25:H34" si="0">"Article to be discontinued"</f>
        <v>Article to be discontinued</v>
      </c>
      <c r="I25">
        <v>24</v>
      </c>
      <c r="J25" t="s">
        <v>45</v>
      </c>
      <c r="K25" t="s">
        <v>46</v>
      </c>
    </row>
    <row r="26" spans="1:11">
      <c r="A26" t="s">
        <v>34</v>
      </c>
      <c r="B26">
        <v>135</v>
      </c>
      <c r="C26" t="s">
        <v>12</v>
      </c>
      <c r="D26" t="str">
        <f>"50785KIT"</f>
        <v>50785KIT</v>
      </c>
      <c r="E26" t="str">
        <f>"50785 KIT"</f>
        <v>50785 KIT</v>
      </c>
      <c r="F26" t="str">
        <f>""</f>
        <v/>
      </c>
      <c r="G26" t="str">
        <f>"5413978125616"</f>
        <v>5413978125616</v>
      </c>
      <c r="H26" t="str">
        <f t="shared" si="0"/>
        <v>Article to be discontinued</v>
      </c>
      <c r="I26">
        <v>25</v>
      </c>
      <c r="J26" t="s">
        <v>47</v>
      </c>
      <c r="K26" t="s">
        <v>48</v>
      </c>
    </row>
    <row r="27" spans="1:11">
      <c r="A27" t="s">
        <v>13</v>
      </c>
      <c r="B27">
        <v>135</v>
      </c>
      <c r="C27" t="s">
        <v>12</v>
      </c>
      <c r="D27" t="str">
        <f>"62015"</f>
        <v>62015</v>
      </c>
      <c r="E27" t="str">
        <f>"62015"</f>
        <v>62015</v>
      </c>
      <c r="F27" t="str">
        <f>""</f>
        <v/>
      </c>
      <c r="G27" t="str">
        <f>"5413978131075"</f>
        <v>5413978131075</v>
      </c>
      <c r="H27" t="str">
        <f t="shared" si="0"/>
        <v>Article to be discontinued</v>
      </c>
      <c r="I27">
        <v>26</v>
      </c>
      <c r="J27" t="s">
        <v>49</v>
      </c>
      <c r="K27" t="s">
        <v>50</v>
      </c>
    </row>
    <row r="28" spans="1:11">
      <c r="A28" t="s">
        <v>13</v>
      </c>
      <c r="B28">
        <v>135</v>
      </c>
      <c r="C28" t="s">
        <v>12</v>
      </c>
      <c r="D28" t="str">
        <f>"62019"</f>
        <v>62019</v>
      </c>
      <c r="E28" t="str">
        <f>"62019"</f>
        <v>62019</v>
      </c>
      <c r="F28" t="str">
        <f>""</f>
        <v/>
      </c>
      <c r="G28" t="str">
        <f>"5413978131112"</f>
        <v>5413978131112</v>
      </c>
      <c r="H28" t="str">
        <f t="shared" si="0"/>
        <v>Article to be discontinued</v>
      </c>
      <c r="I28">
        <v>27</v>
      </c>
      <c r="J28" t="s">
        <v>51</v>
      </c>
      <c r="K28" t="s">
        <v>52</v>
      </c>
    </row>
    <row r="29" spans="1:11">
      <c r="A29" t="s">
        <v>22</v>
      </c>
      <c r="B29">
        <v>135</v>
      </c>
      <c r="C29" t="s">
        <v>12</v>
      </c>
      <c r="D29" t="str">
        <f>"62026"</f>
        <v>62026</v>
      </c>
      <c r="E29" t="str">
        <f>"62026"</f>
        <v>62026</v>
      </c>
      <c r="F29" t="str">
        <f>""</f>
        <v/>
      </c>
      <c r="G29" t="str">
        <f>"5413978131174"</f>
        <v>5413978131174</v>
      </c>
      <c r="H29" t="str">
        <f t="shared" si="0"/>
        <v>Article to be discontinued</v>
      </c>
      <c r="I29">
        <v>28</v>
      </c>
      <c r="J29" t="s">
        <v>53</v>
      </c>
      <c r="K29" t="s">
        <v>54</v>
      </c>
    </row>
    <row r="30" spans="1:11">
      <c r="A30" t="s">
        <v>22</v>
      </c>
      <c r="B30">
        <v>135</v>
      </c>
      <c r="C30" t="s">
        <v>12</v>
      </c>
      <c r="D30" t="str">
        <f>"62027"</f>
        <v>62027</v>
      </c>
      <c r="E30" t="str">
        <f>"62027"</f>
        <v>62027</v>
      </c>
      <c r="F30" t="str">
        <f>""</f>
        <v/>
      </c>
      <c r="G30" t="str">
        <f>"5413978131181"</f>
        <v>5413978131181</v>
      </c>
      <c r="H30" t="str">
        <f t="shared" si="0"/>
        <v>Article to be discontinued</v>
      </c>
      <c r="I30">
        <v>29</v>
      </c>
      <c r="J30" t="s">
        <v>55</v>
      </c>
      <c r="K30" t="s">
        <v>56</v>
      </c>
    </row>
    <row r="31" spans="1:11">
      <c r="A31" t="s">
        <v>57</v>
      </c>
      <c r="B31">
        <v>135</v>
      </c>
      <c r="C31" t="s">
        <v>12</v>
      </c>
      <c r="D31" t="str">
        <f>"62143"</f>
        <v>62143</v>
      </c>
      <c r="E31" t="str">
        <f>"62143"</f>
        <v>62143</v>
      </c>
      <c r="F31" t="str">
        <f>""</f>
        <v/>
      </c>
      <c r="G31" t="str">
        <f>"5413978131549"</f>
        <v>5413978131549</v>
      </c>
      <c r="H31" t="str">
        <f t="shared" si="0"/>
        <v>Article to be discontinued</v>
      </c>
      <c r="I31">
        <v>30</v>
      </c>
      <c r="J31" t="s">
        <v>58</v>
      </c>
      <c r="K31" t="s">
        <v>59</v>
      </c>
    </row>
    <row r="32" spans="1:11">
      <c r="A32" t="s">
        <v>60</v>
      </c>
      <c r="B32">
        <v>135</v>
      </c>
      <c r="C32" t="s">
        <v>12</v>
      </c>
      <c r="D32" t="str">
        <f>"62144"</f>
        <v>62144</v>
      </c>
      <c r="E32" t="str">
        <f>"62144"</f>
        <v>62144</v>
      </c>
      <c r="F32" t="str">
        <f>""</f>
        <v/>
      </c>
      <c r="G32" t="str">
        <f>"5413978236831"</f>
        <v>5413978236831</v>
      </c>
      <c r="H32" t="str">
        <f t="shared" si="0"/>
        <v>Article to be discontinued</v>
      </c>
      <c r="I32">
        <v>31</v>
      </c>
      <c r="J32" t="s">
        <v>61</v>
      </c>
      <c r="K32" s="1" t="s">
        <v>62</v>
      </c>
    </row>
    <row r="33" spans="1:11">
      <c r="A33" t="s">
        <v>63</v>
      </c>
      <c r="B33">
        <v>135</v>
      </c>
      <c r="C33" t="s">
        <v>12</v>
      </c>
      <c r="D33" t="str">
        <f>"62166KIT"</f>
        <v>62166KIT</v>
      </c>
      <c r="E33" t="str">
        <f>"62166 KIT"</f>
        <v>62166 KIT</v>
      </c>
      <c r="F33" t="str">
        <f>""</f>
        <v/>
      </c>
      <c r="G33" t="str">
        <f>"5413978131730"</f>
        <v>5413978131730</v>
      </c>
      <c r="H33" t="str">
        <f t="shared" si="0"/>
        <v>Article to be discontinued</v>
      </c>
      <c r="I33">
        <v>32</v>
      </c>
      <c r="J33" t="s">
        <v>64</v>
      </c>
      <c r="K33" t="s">
        <v>65</v>
      </c>
    </row>
    <row r="34" spans="1:11">
      <c r="A34" t="s">
        <v>34</v>
      </c>
      <c r="B34">
        <v>135</v>
      </c>
      <c r="C34" t="s">
        <v>12</v>
      </c>
      <c r="D34" t="str">
        <f>"62186KIT"</f>
        <v>62186KIT</v>
      </c>
      <c r="E34" t="str">
        <f>"62186 KIT"</f>
        <v>62186 KIT</v>
      </c>
      <c r="F34" t="str">
        <f>""</f>
        <v/>
      </c>
      <c r="G34" t="str">
        <f>"5413978131990"</f>
        <v>5413978131990</v>
      </c>
      <c r="H34" t="str">
        <f t="shared" si="0"/>
        <v>Article to be discontinued</v>
      </c>
      <c r="I34">
        <v>33</v>
      </c>
      <c r="J34" t="s">
        <v>66</v>
      </c>
      <c r="K34" t="s">
        <v>67</v>
      </c>
    </row>
    <row r="35" spans="1:11">
      <c r="A35" t="s">
        <v>34</v>
      </c>
      <c r="B35">
        <v>135</v>
      </c>
      <c r="C35" t="s">
        <v>12</v>
      </c>
      <c r="D35" t="str">
        <f>"62187KITSR"</f>
        <v>62187KITSR</v>
      </c>
      <c r="E35" t="str">
        <f>"62187 KIT SR"</f>
        <v>62187 KIT SR</v>
      </c>
      <c r="F35" t="str">
        <f>""</f>
        <v/>
      </c>
      <c r="G35" t="str">
        <f>""</f>
        <v/>
      </c>
      <c r="H35" t="str">
        <f>"No longer supplied by manufacturer"</f>
        <v>No longer supplied by manufacturer</v>
      </c>
      <c r="I35">
        <v>34</v>
      </c>
      <c r="K35" t="s">
        <v>68</v>
      </c>
    </row>
    <row r="36" spans="1:11">
      <c r="A36" t="s">
        <v>34</v>
      </c>
      <c r="B36">
        <v>135</v>
      </c>
      <c r="C36" t="s">
        <v>12</v>
      </c>
      <c r="D36" t="str">
        <f>"62188KITSR"</f>
        <v>62188KITSR</v>
      </c>
      <c r="E36" t="str">
        <f>"62188 KIT SR"</f>
        <v>62188 KIT SR</v>
      </c>
      <c r="F36" t="str">
        <f>""</f>
        <v/>
      </c>
      <c r="G36" t="str">
        <f>""</f>
        <v/>
      </c>
      <c r="H36" t="str">
        <f>"No longer supplied by manufacturer"</f>
        <v>No longer supplied by manufacturer</v>
      </c>
      <c r="I36">
        <v>35</v>
      </c>
      <c r="K36" t="s">
        <v>69</v>
      </c>
    </row>
    <row r="37" spans="1:11">
      <c r="A37" t="s">
        <v>11</v>
      </c>
      <c r="B37">
        <v>135</v>
      </c>
      <c r="C37" t="s">
        <v>12</v>
      </c>
      <c r="D37" t="str">
        <f>"62246"</f>
        <v>62246</v>
      </c>
      <c r="E37" t="str">
        <f>"62246"</f>
        <v>62246</v>
      </c>
      <c r="F37" t="str">
        <f>""</f>
        <v/>
      </c>
      <c r="G37" t="str">
        <f>""</f>
        <v/>
      </c>
      <c r="H37" t="str">
        <f>"No longer supplied by manufacturer"</f>
        <v>No longer supplied by manufacturer</v>
      </c>
      <c r="I37">
        <v>36</v>
      </c>
    </row>
    <row r="38" spans="1:11">
      <c r="A38" t="s">
        <v>22</v>
      </c>
      <c r="B38">
        <v>135</v>
      </c>
      <c r="C38" t="s">
        <v>12</v>
      </c>
      <c r="D38" t="str">
        <f>"50124"</f>
        <v>50124</v>
      </c>
      <c r="E38" t="str">
        <f>"50124"</f>
        <v>50124</v>
      </c>
      <c r="F38" t="str">
        <f>""</f>
        <v/>
      </c>
      <c r="G38" t="str">
        <f>"5413978123919"</f>
        <v>5413978123919</v>
      </c>
      <c r="H38" t="str">
        <f>"Article to be discontinued"</f>
        <v>Article to be discontinued</v>
      </c>
      <c r="I38">
        <v>37</v>
      </c>
      <c r="J38" t="s">
        <v>70</v>
      </c>
      <c r="K38" t="s">
        <v>71</v>
      </c>
    </row>
    <row r="39" spans="1:11">
      <c r="A39" t="s">
        <v>11</v>
      </c>
      <c r="B39">
        <v>135</v>
      </c>
      <c r="C39" t="s">
        <v>12</v>
      </c>
      <c r="D39" t="str">
        <f>"50246"</f>
        <v>50246</v>
      </c>
      <c r="E39" t="str">
        <f>"50246"</f>
        <v>50246</v>
      </c>
      <c r="F39" t="str">
        <f>""</f>
        <v/>
      </c>
      <c r="G39" t="str">
        <f>""</f>
        <v/>
      </c>
      <c r="H39" t="str">
        <f>"No longer supplied by manufacturer"</f>
        <v>No longer supplied by manufacturer</v>
      </c>
      <c r="I39">
        <v>38</v>
      </c>
      <c r="K39" t="s">
        <v>72</v>
      </c>
    </row>
    <row r="40" spans="1:11">
      <c r="A40" t="s">
        <v>63</v>
      </c>
      <c r="B40">
        <v>135</v>
      </c>
      <c r="C40" t="s">
        <v>12</v>
      </c>
      <c r="D40" t="str">
        <f>"62263KIT"</f>
        <v>62263KIT</v>
      </c>
      <c r="E40" t="str">
        <f>"62263 KIT"</f>
        <v>62263 KIT</v>
      </c>
      <c r="F40" t="str">
        <f>""</f>
        <v/>
      </c>
      <c r="G40" t="str">
        <f>"5413978132287"</f>
        <v>5413978132287</v>
      </c>
      <c r="H40" t="str">
        <f>"Article to be discontinued"</f>
        <v>Article to be discontinued</v>
      </c>
      <c r="I40">
        <v>39</v>
      </c>
      <c r="J40" t="s">
        <v>73</v>
      </c>
      <c r="K40" t="s">
        <v>74</v>
      </c>
    </row>
    <row r="41" spans="1:11">
      <c r="A41" t="s">
        <v>63</v>
      </c>
      <c r="B41">
        <v>135</v>
      </c>
      <c r="C41" t="s">
        <v>12</v>
      </c>
      <c r="D41" t="str">
        <f>"62264KIT"</f>
        <v>62264KIT</v>
      </c>
      <c r="E41" t="str">
        <f>"62264 KIT"</f>
        <v>62264 KIT</v>
      </c>
      <c r="F41" t="str">
        <f>""</f>
        <v/>
      </c>
      <c r="G41" t="str">
        <f>""</f>
        <v/>
      </c>
      <c r="H41" t="str">
        <f>"No longer supplied by manufacturer"</f>
        <v>No longer supplied by manufacturer</v>
      </c>
      <c r="I41">
        <v>40</v>
      </c>
    </row>
    <row r="42" spans="1:11">
      <c r="A42" t="s">
        <v>29</v>
      </c>
      <c r="B42">
        <v>135</v>
      </c>
      <c r="C42" t="s">
        <v>12</v>
      </c>
      <c r="D42" t="str">
        <f>"62272"</f>
        <v>62272</v>
      </c>
      <c r="E42" t="str">
        <f>"62272"</f>
        <v>62272</v>
      </c>
      <c r="F42" t="str">
        <f>""</f>
        <v/>
      </c>
      <c r="G42" t="str">
        <f>""</f>
        <v/>
      </c>
      <c r="H42" t="str">
        <f>"No longer supplied by manufacturer"</f>
        <v>No longer supplied by manufacturer</v>
      </c>
      <c r="I42">
        <v>41</v>
      </c>
      <c r="K42" t="s">
        <v>75</v>
      </c>
    </row>
    <row r="43" spans="1:11">
      <c r="A43" t="s">
        <v>11</v>
      </c>
      <c r="B43">
        <v>135</v>
      </c>
      <c r="C43" t="s">
        <v>12</v>
      </c>
      <c r="D43" t="str">
        <f>"6247"</f>
        <v>6247</v>
      </c>
      <c r="E43" t="str">
        <f>"6247"</f>
        <v>6247</v>
      </c>
      <c r="F43" t="str">
        <f>""</f>
        <v/>
      </c>
      <c r="G43" t="str">
        <f>""</f>
        <v/>
      </c>
      <c r="H43" t="str">
        <f>"No longer supplied by manufacturer"</f>
        <v>No longer supplied by manufacturer</v>
      </c>
      <c r="I43">
        <v>42</v>
      </c>
    </row>
    <row r="44" spans="1:11">
      <c r="A44" t="s">
        <v>28</v>
      </c>
      <c r="B44">
        <v>135</v>
      </c>
      <c r="C44" t="s">
        <v>12</v>
      </c>
      <c r="D44" t="str">
        <f>"68669"</f>
        <v>68669</v>
      </c>
      <c r="E44" t="str">
        <f>"68669"</f>
        <v>68669</v>
      </c>
      <c r="F44" t="str">
        <f>""</f>
        <v/>
      </c>
      <c r="G44" t="str">
        <f>"5413978140886"</f>
        <v>5413978140886</v>
      </c>
      <c r="H44" t="str">
        <f>"Article to be discontinued"</f>
        <v>Article to be discontinued</v>
      </c>
      <c r="I44">
        <v>43</v>
      </c>
      <c r="J44" t="s">
        <v>76</v>
      </c>
      <c r="K44" t="s">
        <v>77</v>
      </c>
    </row>
    <row r="45" spans="1:11">
      <c r="A45" t="s">
        <v>28</v>
      </c>
      <c r="B45">
        <v>135</v>
      </c>
      <c r="C45" t="s">
        <v>12</v>
      </c>
      <c r="D45" t="str">
        <f>"68762"</f>
        <v>68762</v>
      </c>
      <c r="E45" t="str">
        <f>"68762"</f>
        <v>68762</v>
      </c>
      <c r="F45" t="str">
        <f>""</f>
        <v/>
      </c>
      <c r="G45" t="str">
        <f>"5413978141104"</f>
        <v>5413978141104</v>
      </c>
      <c r="H45" t="str">
        <f>"Article to be discontinued"</f>
        <v>Article to be discontinued</v>
      </c>
      <c r="I45">
        <v>44</v>
      </c>
      <c r="J45" t="s">
        <v>78</v>
      </c>
      <c r="K45" t="s">
        <v>79</v>
      </c>
    </row>
    <row r="46" spans="1:11">
      <c r="A46" t="s">
        <v>28</v>
      </c>
      <c r="B46">
        <v>135</v>
      </c>
      <c r="C46" t="s">
        <v>12</v>
      </c>
      <c r="D46" t="str">
        <f>"68766"</f>
        <v>68766</v>
      </c>
      <c r="E46" t="str">
        <f>"68766"</f>
        <v>68766</v>
      </c>
      <c r="F46" t="str">
        <f>""</f>
        <v/>
      </c>
      <c r="G46" t="str">
        <f>"5413978141142"</f>
        <v>5413978141142</v>
      </c>
      <c r="H46" t="str">
        <f>"Article to be discontinued"</f>
        <v>Article to be discontinued</v>
      </c>
      <c r="I46">
        <v>45</v>
      </c>
      <c r="J46" t="s">
        <v>80</v>
      </c>
      <c r="K46" t="s">
        <v>81</v>
      </c>
    </row>
    <row r="47" spans="1:11">
      <c r="A47" t="s">
        <v>28</v>
      </c>
      <c r="B47">
        <v>135</v>
      </c>
      <c r="C47" t="s">
        <v>12</v>
      </c>
      <c r="D47" t="str">
        <f>"68768"</f>
        <v>68768</v>
      </c>
      <c r="E47" t="str">
        <f>"68768"</f>
        <v>68768</v>
      </c>
      <c r="F47" t="str">
        <f>""</f>
        <v/>
      </c>
      <c r="G47" t="str">
        <f>"5413978141166"</f>
        <v>5413978141166</v>
      </c>
      <c r="H47" t="str">
        <f>"Article to be discontinued"</f>
        <v>Article to be discontinued</v>
      </c>
      <c r="I47">
        <v>46</v>
      </c>
      <c r="J47" t="s">
        <v>82</v>
      </c>
      <c r="K47" t="s">
        <v>83</v>
      </c>
    </row>
    <row r="48" spans="1:11">
      <c r="A48" t="s">
        <v>84</v>
      </c>
      <c r="B48">
        <v>135</v>
      </c>
      <c r="C48" t="s">
        <v>12</v>
      </c>
      <c r="D48" t="str">
        <f>"68769R"</f>
        <v>68769R</v>
      </c>
      <c r="E48" t="str">
        <f>"68769 R"</f>
        <v>68769 R</v>
      </c>
      <c r="F48" t="str">
        <f>""</f>
        <v/>
      </c>
      <c r="G48" t="str">
        <f>"5413978141180"</f>
        <v>5413978141180</v>
      </c>
      <c r="H48" t="str">
        <f>"Article to be discontinued"</f>
        <v>Article to be discontinued</v>
      </c>
      <c r="I48">
        <v>47</v>
      </c>
      <c r="J48" t="s">
        <v>85</v>
      </c>
      <c r="K48" t="s">
        <v>86</v>
      </c>
    </row>
    <row r="49" spans="1:11">
      <c r="A49" t="s">
        <v>34</v>
      </c>
      <c r="B49">
        <v>135</v>
      </c>
      <c r="C49" t="s">
        <v>12</v>
      </c>
      <c r="D49" t="str">
        <f>"6887KIT"</f>
        <v>6887KIT</v>
      </c>
      <c r="E49" t="str">
        <f>"6887 KIT"</f>
        <v>6887 KIT</v>
      </c>
      <c r="F49" t="str">
        <f>""</f>
        <v/>
      </c>
      <c r="G49" t="str">
        <f>"5413978237234"</f>
        <v>5413978237234</v>
      </c>
      <c r="H49" t="str">
        <f>"Normal"</f>
        <v>Normal</v>
      </c>
      <c r="I49">
        <v>48</v>
      </c>
      <c r="J49" t="s">
        <v>87</v>
      </c>
      <c r="K49" t="s">
        <v>88</v>
      </c>
    </row>
    <row r="50" spans="1:11">
      <c r="A50" t="s">
        <v>13</v>
      </c>
      <c r="B50">
        <v>135</v>
      </c>
      <c r="C50" t="s">
        <v>12</v>
      </c>
      <c r="D50" t="str">
        <f>"68018"</f>
        <v>68018</v>
      </c>
      <c r="E50" t="str">
        <f>"68018"</f>
        <v>68018</v>
      </c>
      <c r="F50" t="str">
        <f>""</f>
        <v/>
      </c>
      <c r="G50" t="str">
        <f>"5413978136766"</f>
        <v>5413978136766</v>
      </c>
      <c r="H50" t="str">
        <f>"Article to be discontinued"</f>
        <v>Article to be discontinued</v>
      </c>
      <c r="I50">
        <v>49</v>
      </c>
      <c r="J50" t="s">
        <v>89</v>
      </c>
      <c r="K50" t="s">
        <v>90</v>
      </c>
    </row>
    <row r="51" spans="1:11">
      <c r="A51" t="s">
        <v>22</v>
      </c>
      <c r="B51">
        <v>135</v>
      </c>
      <c r="C51" t="s">
        <v>12</v>
      </c>
      <c r="D51" t="str">
        <f>"68020"</f>
        <v>68020</v>
      </c>
      <c r="E51" t="str">
        <f>"68020"</f>
        <v>68020</v>
      </c>
      <c r="F51" t="str">
        <f>""</f>
        <v/>
      </c>
      <c r="G51" t="str">
        <f>"5413978136780"</f>
        <v>5413978136780</v>
      </c>
      <c r="H51" t="str">
        <f>"Article to be discontinued"</f>
        <v>Article to be discontinued</v>
      </c>
      <c r="I51">
        <v>50</v>
      </c>
      <c r="J51" t="s">
        <v>91</v>
      </c>
      <c r="K51" t="s">
        <v>92</v>
      </c>
    </row>
    <row r="52" spans="1:11">
      <c r="A52" t="s">
        <v>22</v>
      </c>
      <c r="B52">
        <v>135</v>
      </c>
      <c r="C52" t="s">
        <v>12</v>
      </c>
      <c r="D52" t="str">
        <f>"68022"</f>
        <v>68022</v>
      </c>
      <c r="E52" t="str">
        <f>"68022"</f>
        <v>68022</v>
      </c>
      <c r="F52" t="str">
        <f>""</f>
        <v/>
      </c>
      <c r="G52" t="str">
        <f>"5413978136797"</f>
        <v>5413978136797</v>
      </c>
      <c r="H52" t="str">
        <f>"Article to be discontinued"</f>
        <v>Article to be discontinued</v>
      </c>
      <c r="I52">
        <v>51</v>
      </c>
      <c r="J52" t="s">
        <v>93</v>
      </c>
      <c r="K52" t="s">
        <v>94</v>
      </c>
    </row>
    <row r="53" spans="1:11">
      <c r="A53" t="s">
        <v>84</v>
      </c>
      <c r="B53">
        <v>135</v>
      </c>
      <c r="C53" t="s">
        <v>12</v>
      </c>
      <c r="D53" t="str">
        <f>"68029"</f>
        <v>68029</v>
      </c>
      <c r="E53" t="str">
        <f>"68029"</f>
        <v>68029</v>
      </c>
      <c r="F53" t="str">
        <f>""</f>
        <v/>
      </c>
      <c r="G53" t="str">
        <f>"5413978136841"</f>
        <v>5413978136841</v>
      </c>
      <c r="H53" t="str">
        <f>"Article to be discontinued"</f>
        <v>Article to be discontinued</v>
      </c>
      <c r="I53">
        <v>52</v>
      </c>
      <c r="J53" t="s">
        <v>95</v>
      </c>
      <c r="K53" t="s">
        <v>96</v>
      </c>
    </row>
    <row r="54" spans="1:11">
      <c r="A54" t="s">
        <v>28</v>
      </c>
      <c r="B54">
        <v>135</v>
      </c>
      <c r="C54" t="s">
        <v>12</v>
      </c>
      <c r="D54" t="str">
        <f>"68061"</f>
        <v>68061</v>
      </c>
      <c r="E54" t="str">
        <f>"68061"</f>
        <v>68061</v>
      </c>
      <c r="F54" t="str">
        <f>""</f>
        <v/>
      </c>
      <c r="G54" t="str">
        <f>"5413978137084"</f>
        <v>5413978137084</v>
      </c>
      <c r="H54" t="str">
        <f>"Article to be discontinued"</f>
        <v>Article to be discontinued</v>
      </c>
      <c r="I54">
        <v>53</v>
      </c>
      <c r="J54" t="s">
        <v>97</v>
      </c>
      <c r="K54" t="s">
        <v>98</v>
      </c>
    </row>
    <row r="55" spans="1:11">
      <c r="A55" t="s">
        <v>11</v>
      </c>
      <c r="B55">
        <v>135</v>
      </c>
      <c r="C55" t="s">
        <v>12</v>
      </c>
      <c r="D55" t="str">
        <f>"68242"</f>
        <v>68242</v>
      </c>
      <c r="E55" t="str">
        <f>"68242"</f>
        <v>68242</v>
      </c>
      <c r="F55" t="str">
        <f>""</f>
        <v/>
      </c>
      <c r="G55" t="str">
        <f>""</f>
        <v/>
      </c>
      <c r="H55" t="str">
        <f>"No longer supplied by manufacturer"</f>
        <v>No longer supplied by manufacturer</v>
      </c>
      <c r="I55">
        <v>54</v>
      </c>
    </row>
    <row r="56" spans="1:11">
      <c r="A56" t="s">
        <v>11</v>
      </c>
      <c r="B56">
        <v>135</v>
      </c>
      <c r="C56" t="s">
        <v>12</v>
      </c>
      <c r="D56" t="str">
        <f>"68244"</f>
        <v>68244</v>
      </c>
      <c r="E56" t="str">
        <f>"68244"</f>
        <v>68244</v>
      </c>
      <c r="F56" t="str">
        <f>""</f>
        <v/>
      </c>
      <c r="G56" t="str">
        <f>""</f>
        <v/>
      </c>
      <c r="H56" t="str">
        <f>"No longer supplied by manufacturer"</f>
        <v>No longer supplied by manufacturer</v>
      </c>
      <c r="I56">
        <v>55</v>
      </c>
    </row>
    <row r="57" spans="1:11">
      <c r="A57" t="s">
        <v>11</v>
      </c>
      <c r="B57">
        <v>135</v>
      </c>
      <c r="C57" t="s">
        <v>12</v>
      </c>
      <c r="D57" t="str">
        <f>"68248"</f>
        <v>68248</v>
      </c>
      <c r="E57" t="str">
        <f>"68248"</f>
        <v>68248</v>
      </c>
      <c r="F57" t="str">
        <f>""</f>
        <v/>
      </c>
      <c r="G57" t="str">
        <f>""</f>
        <v/>
      </c>
      <c r="H57" t="str">
        <f>"No longer supplied by manufacturer"</f>
        <v>No longer supplied by manufacturer</v>
      </c>
      <c r="I57">
        <v>56</v>
      </c>
      <c r="K57" t="s">
        <v>99</v>
      </c>
    </row>
    <row r="58" spans="1:11">
      <c r="A58" t="s">
        <v>11</v>
      </c>
      <c r="B58">
        <v>135</v>
      </c>
      <c r="C58" t="s">
        <v>12</v>
      </c>
      <c r="D58" t="str">
        <f>"68249"</f>
        <v>68249</v>
      </c>
      <c r="E58" t="str">
        <f>"68249"</f>
        <v>68249</v>
      </c>
      <c r="F58" t="str">
        <f>""</f>
        <v/>
      </c>
      <c r="G58" t="str">
        <f>""</f>
        <v/>
      </c>
      <c r="H58" t="str">
        <f>"No longer supplied by manufacturer"</f>
        <v>No longer supplied by manufacturer</v>
      </c>
      <c r="I58">
        <v>57</v>
      </c>
    </row>
    <row r="59" spans="1:11">
      <c r="A59" t="s">
        <v>34</v>
      </c>
      <c r="B59">
        <v>135</v>
      </c>
      <c r="C59" t="s">
        <v>12</v>
      </c>
      <c r="D59" t="str">
        <f>"68280KITSR"</f>
        <v>68280KITSR</v>
      </c>
      <c r="E59" t="str">
        <f>"68280 KIT SR"</f>
        <v>68280 KIT SR</v>
      </c>
      <c r="F59" t="str">
        <f>""</f>
        <v/>
      </c>
      <c r="G59" t="str">
        <f>""</f>
        <v/>
      </c>
      <c r="H59" t="str">
        <f>"No longer supplied by manufacturer"</f>
        <v>No longer supplied by manufacturer</v>
      </c>
      <c r="I59">
        <v>58</v>
      </c>
      <c r="K59" t="s">
        <v>100</v>
      </c>
    </row>
    <row r="60" spans="1:11">
      <c r="A60" t="s">
        <v>101</v>
      </c>
      <c r="B60">
        <v>135</v>
      </c>
      <c r="C60" t="s">
        <v>12</v>
      </c>
      <c r="D60" t="str">
        <f>"68282R"</f>
        <v>68282R</v>
      </c>
      <c r="E60" t="str">
        <f>"68282 R"</f>
        <v>68282 R</v>
      </c>
      <c r="F60" t="str">
        <f>""</f>
        <v/>
      </c>
      <c r="G60" t="str">
        <f>"5413978202768"</f>
        <v>5413978202768</v>
      </c>
      <c r="H60" t="str">
        <f>"Article to be discontinued"</f>
        <v>Article to be discontinued</v>
      </c>
      <c r="I60">
        <v>59</v>
      </c>
      <c r="J60" t="s">
        <v>102</v>
      </c>
      <c r="K60" t="s">
        <v>103</v>
      </c>
    </row>
    <row r="61" spans="1:11">
      <c r="A61" t="s">
        <v>22</v>
      </c>
      <c r="B61">
        <v>135</v>
      </c>
      <c r="C61" t="s">
        <v>12</v>
      </c>
      <c r="D61" t="str">
        <f>"68322"</f>
        <v>68322</v>
      </c>
      <c r="E61" t="str">
        <f>"68322"</f>
        <v>68322</v>
      </c>
      <c r="F61" t="str">
        <f>""</f>
        <v/>
      </c>
      <c r="G61" t="str">
        <f>""</f>
        <v/>
      </c>
      <c r="H61" t="str">
        <f>"No longer supplied by manufacturer"</f>
        <v>No longer supplied by manufacturer</v>
      </c>
      <c r="I61">
        <v>60</v>
      </c>
      <c r="K61" t="s">
        <v>104</v>
      </c>
    </row>
    <row r="62" spans="1:11">
      <c r="A62" t="s">
        <v>11</v>
      </c>
      <c r="B62">
        <v>135</v>
      </c>
      <c r="C62" t="s">
        <v>12</v>
      </c>
      <c r="D62" t="str">
        <f>"68340"</f>
        <v>68340</v>
      </c>
      <c r="E62" t="str">
        <f>"68340"</f>
        <v>68340</v>
      </c>
      <c r="F62" t="str">
        <f>""</f>
        <v/>
      </c>
      <c r="G62" t="str">
        <f>""</f>
        <v/>
      </c>
      <c r="H62" t="str">
        <f>"No longer supplied by manufacturer"</f>
        <v>No longer supplied by manufacturer</v>
      </c>
      <c r="I62">
        <v>61</v>
      </c>
      <c r="K62" t="s">
        <v>105</v>
      </c>
    </row>
    <row r="63" spans="1:11">
      <c r="A63" t="s">
        <v>11</v>
      </c>
      <c r="B63">
        <v>135</v>
      </c>
      <c r="C63" t="s">
        <v>12</v>
      </c>
      <c r="D63" t="str">
        <f>"68345"</f>
        <v>68345</v>
      </c>
      <c r="E63" t="str">
        <f>"68345"</f>
        <v>68345</v>
      </c>
      <c r="F63" t="str">
        <f>""</f>
        <v/>
      </c>
      <c r="G63" t="str">
        <f>""</f>
        <v/>
      </c>
      <c r="H63" t="str">
        <f>"No longer supplied by manufacturer"</f>
        <v>No longer supplied by manufacturer</v>
      </c>
      <c r="I63">
        <v>62</v>
      </c>
    </row>
    <row r="64" spans="1:11">
      <c r="A64" t="s">
        <v>11</v>
      </c>
      <c r="B64">
        <v>135</v>
      </c>
      <c r="C64" t="s">
        <v>12</v>
      </c>
      <c r="D64" t="str">
        <f>"68347"</f>
        <v>68347</v>
      </c>
      <c r="E64" t="str">
        <f>"68347"</f>
        <v>68347</v>
      </c>
      <c r="F64" t="str">
        <f>""</f>
        <v/>
      </c>
      <c r="G64" t="str">
        <f>""</f>
        <v/>
      </c>
      <c r="H64" t="str">
        <f>"No longer supplied by manufacturer"</f>
        <v>No longer supplied by manufacturer</v>
      </c>
      <c r="I64">
        <v>63</v>
      </c>
    </row>
    <row r="65" spans="1:11">
      <c r="A65" t="s">
        <v>106</v>
      </c>
      <c r="B65">
        <v>135</v>
      </c>
      <c r="C65" t="s">
        <v>12</v>
      </c>
      <c r="D65" t="str">
        <f>"68457"</f>
        <v>68457</v>
      </c>
      <c r="E65" t="str">
        <f>"68457"</f>
        <v>68457</v>
      </c>
      <c r="F65" t="str">
        <f>""</f>
        <v/>
      </c>
      <c r="G65" t="str">
        <f>"5413978139019"</f>
        <v>5413978139019</v>
      </c>
      <c r="H65" t="str">
        <f>"Article to be discontinued"</f>
        <v>Article to be discontinued</v>
      </c>
      <c r="I65">
        <v>64</v>
      </c>
      <c r="J65" t="s">
        <v>107</v>
      </c>
      <c r="K65" t="s">
        <v>108</v>
      </c>
    </row>
    <row r="66" spans="1:11">
      <c r="A66" t="s">
        <v>84</v>
      </c>
      <c r="B66">
        <v>135</v>
      </c>
      <c r="C66" t="s">
        <v>12</v>
      </c>
      <c r="D66" t="str">
        <f>"68529"</f>
        <v>68529</v>
      </c>
      <c r="E66" t="str">
        <f>"68529"</f>
        <v>68529</v>
      </c>
      <c r="F66" t="str">
        <f>""</f>
        <v/>
      </c>
      <c r="G66" t="str">
        <f>"5413978139279"</f>
        <v>5413978139279</v>
      </c>
      <c r="H66" t="str">
        <f>"Article to be discontinued"</f>
        <v>Article to be discontinued</v>
      </c>
      <c r="I66">
        <v>65</v>
      </c>
      <c r="J66" t="s">
        <v>109</v>
      </c>
      <c r="K66" t="s">
        <v>110</v>
      </c>
    </row>
    <row r="67" spans="1:11">
      <c r="A67" t="s">
        <v>111</v>
      </c>
      <c r="B67">
        <v>135</v>
      </c>
      <c r="C67" t="s">
        <v>12</v>
      </c>
      <c r="D67" t="str">
        <f>"68557"</f>
        <v>68557</v>
      </c>
      <c r="E67" t="str">
        <f>"68557"</f>
        <v>68557</v>
      </c>
      <c r="F67" t="str">
        <f>""</f>
        <v/>
      </c>
      <c r="G67" t="str">
        <f>"5413978139545"</f>
        <v>5413978139545</v>
      </c>
      <c r="H67" t="str">
        <f>"Article to be discontinued"</f>
        <v>Article to be discontinued</v>
      </c>
      <c r="I67">
        <v>66</v>
      </c>
      <c r="J67" t="s">
        <v>112</v>
      </c>
      <c r="K67" t="s">
        <v>113</v>
      </c>
    </row>
    <row r="68" spans="1:11">
      <c r="A68" t="s">
        <v>28</v>
      </c>
      <c r="B68">
        <v>135</v>
      </c>
      <c r="C68" t="s">
        <v>12</v>
      </c>
      <c r="D68" t="str">
        <f>"68561"</f>
        <v>68561</v>
      </c>
      <c r="E68" t="str">
        <f>"68561"</f>
        <v>68561</v>
      </c>
      <c r="F68" t="str">
        <f>""</f>
        <v/>
      </c>
      <c r="G68" t="str">
        <f>"5413978139583"</f>
        <v>5413978139583</v>
      </c>
      <c r="H68" t="str">
        <f>"Article to be discontinued"</f>
        <v>Article to be discontinued</v>
      </c>
      <c r="I68">
        <v>67</v>
      </c>
      <c r="J68" t="s">
        <v>114</v>
      </c>
      <c r="K68" t="s">
        <v>115</v>
      </c>
    </row>
    <row r="69" spans="1:11">
      <c r="A69" t="s">
        <v>28</v>
      </c>
      <c r="B69">
        <v>135</v>
      </c>
      <c r="C69" t="s">
        <v>12</v>
      </c>
      <c r="D69" t="str">
        <f>"68565"</f>
        <v>68565</v>
      </c>
      <c r="E69" t="str">
        <f>"68565"</f>
        <v>68565</v>
      </c>
      <c r="F69" t="str">
        <f>""</f>
        <v/>
      </c>
      <c r="G69" t="str">
        <f>""</f>
        <v/>
      </c>
      <c r="H69" t="str">
        <f>"No longer supplied by manufacturer"</f>
        <v>No longer supplied by manufacturer</v>
      </c>
      <c r="I69">
        <v>68</v>
      </c>
    </row>
    <row r="70" spans="1:11">
      <c r="A70" t="s">
        <v>84</v>
      </c>
      <c r="B70">
        <v>135</v>
      </c>
      <c r="C70" t="s">
        <v>12</v>
      </c>
      <c r="D70" t="str">
        <f>"68565R"</f>
        <v>68565R</v>
      </c>
      <c r="E70" t="str">
        <f>"68565 R"</f>
        <v>68565 R</v>
      </c>
      <c r="F70" t="str">
        <f>""</f>
        <v/>
      </c>
      <c r="G70" t="str">
        <f>"5413978139743"</f>
        <v>5413978139743</v>
      </c>
      <c r="H70" t="str">
        <f>"Article to be discontinued"</f>
        <v>Article to be discontinued</v>
      </c>
      <c r="I70">
        <v>69</v>
      </c>
      <c r="J70" t="s">
        <v>116</v>
      </c>
      <c r="K70" t="s">
        <v>117</v>
      </c>
    </row>
    <row r="71" spans="1:11">
      <c r="A71" t="s">
        <v>28</v>
      </c>
      <c r="B71">
        <v>135</v>
      </c>
      <c r="C71" t="s">
        <v>12</v>
      </c>
      <c r="D71" t="str">
        <f>"68566"</f>
        <v>68566</v>
      </c>
      <c r="E71" t="str">
        <f>"68566"</f>
        <v>68566</v>
      </c>
      <c r="F71" t="str">
        <f>""</f>
        <v/>
      </c>
      <c r="G71" t="str">
        <f>"5413978139750"</f>
        <v>5413978139750</v>
      </c>
      <c r="H71" t="str">
        <f>"Article to be discontinued"</f>
        <v>Article to be discontinued</v>
      </c>
      <c r="I71">
        <v>70</v>
      </c>
      <c r="J71" t="s">
        <v>118</v>
      </c>
      <c r="K71" t="s">
        <v>119</v>
      </c>
    </row>
    <row r="72" spans="1:11">
      <c r="A72" t="s">
        <v>63</v>
      </c>
      <c r="B72">
        <v>135</v>
      </c>
      <c r="C72" t="s">
        <v>12</v>
      </c>
      <c r="D72" t="str">
        <f>"68566KIT"</f>
        <v>68566KIT</v>
      </c>
      <c r="E72" t="str">
        <f>"68566 KIT"</f>
        <v>68566 KIT</v>
      </c>
      <c r="F72" t="str">
        <f>""</f>
        <v/>
      </c>
      <c r="G72" t="str">
        <f>"5413978139767"</f>
        <v>5413978139767</v>
      </c>
      <c r="H72" t="str">
        <f>"Article to be discontinued"</f>
        <v>Article to be discontinued</v>
      </c>
      <c r="I72">
        <v>71</v>
      </c>
      <c r="J72" t="s">
        <v>120</v>
      </c>
      <c r="K72" t="s">
        <v>121</v>
      </c>
    </row>
    <row r="73" spans="1:11">
      <c r="A73" t="s">
        <v>122</v>
      </c>
      <c r="B73">
        <v>135</v>
      </c>
      <c r="C73" t="s">
        <v>12</v>
      </c>
      <c r="D73" t="str">
        <f>"835300"</f>
        <v>835300</v>
      </c>
      <c r="E73" t="str">
        <f>"835300"</f>
        <v>835300</v>
      </c>
      <c r="F73" t="str">
        <f>""</f>
        <v/>
      </c>
      <c r="G73" t="str">
        <f>"5413978244713"</f>
        <v>5413978244713</v>
      </c>
      <c r="H73" t="str">
        <f>"in Preparation"</f>
        <v>in Preparation</v>
      </c>
      <c r="I73">
        <v>72</v>
      </c>
      <c r="J73" t="s">
        <v>123</v>
      </c>
      <c r="K73" t="s">
        <v>124</v>
      </c>
    </row>
    <row r="74" spans="1:11">
      <c r="A74" t="s">
        <v>60</v>
      </c>
      <c r="B74">
        <v>135</v>
      </c>
      <c r="C74" t="s">
        <v>12</v>
      </c>
      <c r="D74" t="str">
        <f>"93134"</f>
        <v>93134</v>
      </c>
      <c r="E74" t="str">
        <f>"93134"</f>
        <v>93134</v>
      </c>
      <c r="F74" t="str">
        <f>""</f>
        <v/>
      </c>
      <c r="G74" t="str">
        <f>""</f>
        <v/>
      </c>
      <c r="H74" t="str">
        <f t="shared" ref="H74:H87" si="1">"Normal"</f>
        <v>Normal</v>
      </c>
      <c r="I74">
        <v>73</v>
      </c>
      <c r="J74" t="s">
        <v>125</v>
      </c>
      <c r="K74" t="s">
        <v>126</v>
      </c>
    </row>
    <row r="75" spans="1:11">
      <c r="A75" t="s">
        <v>127</v>
      </c>
      <c r="B75">
        <v>480</v>
      </c>
      <c r="C75" t="s">
        <v>128</v>
      </c>
      <c r="D75" t="str">
        <f>"01131"</f>
        <v>01131</v>
      </c>
      <c r="E75" t="str">
        <f>"01131"</f>
        <v>01131</v>
      </c>
      <c r="F75" t="str">
        <f>"81131"</f>
        <v>81131</v>
      </c>
      <c r="G75" t="str">
        <f>"8032928109512"</f>
        <v>8032928109512</v>
      </c>
      <c r="H75" t="str">
        <f t="shared" si="1"/>
        <v>Normal</v>
      </c>
      <c r="I75">
        <v>74</v>
      </c>
      <c r="J75" t="s">
        <v>129</v>
      </c>
      <c r="K75" t="s">
        <v>130</v>
      </c>
    </row>
    <row r="76" spans="1:11">
      <c r="A76" t="s">
        <v>127</v>
      </c>
      <c r="B76">
        <v>480</v>
      </c>
      <c r="C76" t="s">
        <v>128</v>
      </c>
      <c r="D76" t="str">
        <f>"01144"</f>
        <v>01144</v>
      </c>
      <c r="E76" t="str">
        <f>"01144"</f>
        <v>01144</v>
      </c>
      <c r="F76" t="str">
        <f>"81144"</f>
        <v>81144</v>
      </c>
      <c r="G76" t="str">
        <f>"8032928135054"</f>
        <v>8032928135054</v>
      </c>
      <c r="H76" t="str">
        <f t="shared" si="1"/>
        <v>Normal</v>
      </c>
      <c r="I76">
        <v>75</v>
      </c>
      <c r="J76" t="s">
        <v>131</v>
      </c>
      <c r="K76" t="s">
        <v>132</v>
      </c>
    </row>
    <row r="77" spans="1:11">
      <c r="A77" t="s">
        <v>127</v>
      </c>
      <c r="B77">
        <v>480</v>
      </c>
      <c r="C77" t="s">
        <v>128</v>
      </c>
      <c r="D77" t="str">
        <f>"01145"</f>
        <v>01145</v>
      </c>
      <c r="E77" t="str">
        <f>"01145"</f>
        <v>01145</v>
      </c>
      <c r="F77" t="str">
        <f>"81145"</f>
        <v>81145</v>
      </c>
      <c r="G77" t="str">
        <f>"8032928135061"</f>
        <v>8032928135061</v>
      </c>
      <c r="H77" t="str">
        <f t="shared" si="1"/>
        <v>Normal</v>
      </c>
      <c r="I77">
        <v>76</v>
      </c>
      <c r="J77" t="s">
        <v>133</v>
      </c>
      <c r="K77" t="s">
        <v>134</v>
      </c>
    </row>
    <row r="78" spans="1:11">
      <c r="A78" t="s">
        <v>127</v>
      </c>
      <c r="B78">
        <v>480</v>
      </c>
      <c r="C78" t="s">
        <v>128</v>
      </c>
      <c r="D78" t="str">
        <f>"01165"</f>
        <v>01165</v>
      </c>
      <c r="E78" t="str">
        <f>"01165"</f>
        <v>01165</v>
      </c>
      <c r="F78" t="str">
        <f>"81165"</f>
        <v>81165</v>
      </c>
      <c r="G78" t="str">
        <f>"8032928154659"</f>
        <v>8032928154659</v>
      </c>
      <c r="H78" t="str">
        <f t="shared" si="1"/>
        <v>Normal</v>
      </c>
      <c r="I78">
        <v>77</v>
      </c>
      <c r="J78" t="s">
        <v>135</v>
      </c>
      <c r="K78" s="1" t="s">
        <v>136</v>
      </c>
    </row>
    <row r="79" spans="1:11">
      <c r="A79" t="s">
        <v>127</v>
      </c>
      <c r="B79">
        <v>480</v>
      </c>
      <c r="C79" t="s">
        <v>128</v>
      </c>
      <c r="D79" t="str">
        <f>"01166"</f>
        <v>01166</v>
      </c>
      <c r="E79" t="str">
        <f>"01166"</f>
        <v>01166</v>
      </c>
      <c r="F79" t="str">
        <f>"81166"</f>
        <v>81166</v>
      </c>
      <c r="G79" t="str">
        <f>"8032928154666"</f>
        <v>8032928154666</v>
      </c>
      <c r="H79" t="str">
        <f t="shared" si="1"/>
        <v>Normal</v>
      </c>
      <c r="I79">
        <v>78</v>
      </c>
      <c r="J79" t="s">
        <v>137</v>
      </c>
      <c r="K79" t="s">
        <v>138</v>
      </c>
    </row>
    <row r="80" spans="1:11">
      <c r="A80" t="s">
        <v>127</v>
      </c>
      <c r="B80">
        <v>480</v>
      </c>
      <c r="C80" t="s">
        <v>128</v>
      </c>
      <c r="D80" t="str">
        <f>"01167"</f>
        <v>01167</v>
      </c>
      <c r="E80" t="str">
        <f>"01167"</f>
        <v>01167</v>
      </c>
      <c r="F80" t="str">
        <f>"81167"</f>
        <v>81167</v>
      </c>
      <c r="G80" t="str">
        <f>"8032928154673"</f>
        <v>8032928154673</v>
      </c>
      <c r="H80" t="str">
        <f t="shared" si="1"/>
        <v>Normal</v>
      </c>
      <c r="I80">
        <v>79</v>
      </c>
      <c r="J80" t="s">
        <v>139</v>
      </c>
      <c r="K80" t="s">
        <v>140</v>
      </c>
    </row>
    <row r="81" spans="1:11">
      <c r="A81" t="s">
        <v>127</v>
      </c>
      <c r="B81">
        <v>480</v>
      </c>
      <c r="C81" t="s">
        <v>128</v>
      </c>
      <c r="D81" t="str">
        <f>"01168"</f>
        <v>01168</v>
      </c>
      <c r="E81" t="str">
        <f>"01168"</f>
        <v>01168</v>
      </c>
      <c r="F81" t="str">
        <f>"81168"</f>
        <v>81168</v>
      </c>
      <c r="G81" t="str">
        <f>"8032928154680"</f>
        <v>8032928154680</v>
      </c>
      <c r="H81" t="str">
        <f t="shared" si="1"/>
        <v>Normal</v>
      </c>
      <c r="I81">
        <v>80</v>
      </c>
      <c r="J81" t="s">
        <v>141</v>
      </c>
      <c r="K81" t="s">
        <v>142</v>
      </c>
    </row>
    <row r="82" spans="1:11">
      <c r="A82" t="s">
        <v>127</v>
      </c>
      <c r="B82">
        <v>480</v>
      </c>
      <c r="C82" t="s">
        <v>128</v>
      </c>
      <c r="D82" t="str">
        <f>"01169"</f>
        <v>01169</v>
      </c>
      <c r="E82" t="str">
        <f>"01169"</f>
        <v>01169</v>
      </c>
      <c r="F82" t="str">
        <f>"81169"</f>
        <v>81169</v>
      </c>
      <c r="G82" t="str">
        <f>"8032928154697"</f>
        <v>8032928154697</v>
      </c>
      <c r="H82" t="str">
        <f t="shared" si="1"/>
        <v>Normal</v>
      </c>
      <c r="I82">
        <v>81</v>
      </c>
      <c r="J82" t="s">
        <v>143</v>
      </c>
      <c r="K82" t="s">
        <v>144</v>
      </c>
    </row>
    <row r="83" spans="1:11">
      <c r="A83" t="s">
        <v>127</v>
      </c>
      <c r="B83">
        <v>480</v>
      </c>
      <c r="C83" t="s">
        <v>128</v>
      </c>
      <c r="D83" t="str">
        <f>"01171"</f>
        <v>01171</v>
      </c>
      <c r="E83" t="str">
        <f>"01171"</f>
        <v>01171</v>
      </c>
      <c r="F83" t="str">
        <f>"81171"</f>
        <v>81171</v>
      </c>
      <c r="G83" t="str">
        <f>"8032928154703"</f>
        <v>8032928154703</v>
      </c>
      <c r="H83" t="str">
        <f t="shared" si="1"/>
        <v>Normal</v>
      </c>
      <c r="I83">
        <v>82</v>
      </c>
      <c r="J83" t="s">
        <v>145</v>
      </c>
      <c r="K83" t="s">
        <v>146</v>
      </c>
    </row>
    <row r="84" spans="1:11">
      <c r="A84" t="s">
        <v>127</v>
      </c>
      <c r="B84">
        <v>480</v>
      </c>
      <c r="C84" t="s">
        <v>128</v>
      </c>
      <c r="D84" t="str">
        <f>"01172"</f>
        <v>01172</v>
      </c>
      <c r="E84" t="str">
        <f>"01172"</f>
        <v>01172</v>
      </c>
      <c r="F84" t="str">
        <f>"81172"</f>
        <v>81172</v>
      </c>
      <c r="G84" t="str">
        <f>"8032928154710"</f>
        <v>8032928154710</v>
      </c>
      <c r="H84" t="str">
        <f t="shared" si="1"/>
        <v>Normal</v>
      </c>
      <c r="I84">
        <v>83</v>
      </c>
      <c r="J84" t="s">
        <v>147</v>
      </c>
      <c r="K84" t="s">
        <v>148</v>
      </c>
    </row>
    <row r="85" spans="1:11">
      <c r="A85" t="s">
        <v>127</v>
      </c>
      <c r="B85">
        <v>480</v>
      </c>
      <c r="C85" t="s">
        <v>128</v>
      </c>
      <c r="D85" t="str">
        <f>"01173"</f>
        <v>01173</v>
      </c>
      <c r="E85" t="str">
        <f>"01173"</f>
        <v>01173</v>
      </c>
      <c r="F85" t="str">
        <f>"81173"</f>
        <v>81173</v>
      </c>
      <c r="G85" t="str">
        <f>"8032928154727"</f>
        <v>8032928154727</v>
      </c>
      <c r="H85" t="str">
        <f t="shared" si="1"/>
        <v>Normal</v>
      </c>
      <c r="I85">
        <v>84</v>
      </c>
      <c r="J85" t="s">
        <v>149</v>
      </c>
      <c r="K85" t="s">
        <v>150</v>
      </c>
    </row>
    <row r="86" spans="1:11">
      <c r="A86" t="s">
        <v>127</v>
      </c>
      <c r="B86">
        <v>480</v>
      </c>
      <c r="C86" t="s">
        <v>128</v>
      </c>
      <c r="D86" t="str">
        <f>"01174"</f>
        <v>01174</v>
      </c>
      <c r="E86" t="str">
        <f>"01174"</f>
        <v>01174</v>
      </c>
      <c r="F86" t="str">
        <f>"81174"</f>
        <v>81174</v>
      </c>
      <c r="G86" t="str">
        <f>"8032928154734"</f>
        <v>8032928154734</v>
      </c>
      <c r="H86" t="str">
        <f t="shared" si="1"/>
        <v>Normal</v>
      </c>
      <c r="I86">
        <v>85</v>
      </c>
      <c r="J86" t="s">
        <v>151</v>
      </c>
      <c r="K86" t="s">
        <v>152</v>
      </c>
    </row>
    <row r="87" spans="1:11">
      <c r="A87" t="s">
        <v>37</v>
      </c>
      <c r="B87">
        <v>135</v>
      </c>
      <c r="C87" t="s">
        <v>12</v>
      </c>
      <c r="D87" t="str">
        <f>"N17034"</f>
        <v>N17034</v>
      </c>
      <c r="E87" t="str">
        <f>"N17034"</f>
        <v>N17034</v>
      </c>
      <c r="F87" t="str">
        <f>""</f>
        <v/>
      </c>
      <c r="G87" t="str">
        <f>"5413978228348"</f>
        <v>5413978228348</v>
      </c>
      <c r="H87" t="str">
        <f t="shared" si="1"/>
        <v>Normal</v>
      </c>
      <c r="I87">
        <v>86</v>
      </c>
      <c r="J87" t="s">
        <v>153</v>
      </c>
    </row>
    <row r="88" spans="1:11">
      <c r="A88" t="s">
        <v>154</v>
      </c>
      <c r="B88">
        <v>135</v>
      </c>
      <c r="C88" t="s">
        <v>12</v>
      </c>
      <c r="D88" t="str">
        <f>"PA25035"</f>
        <v>PA25035</v>
      </c>
      <c r="E88" t="str">
        <f>"PA25035"</f>
        <v>PA25035</v>
      </c>
      <c r="F88" t="str">
        <f>""</f>
        <v/>
      </c>
      <c r="G88" t="str">
        <f>""</f>
        <v/>
      </c>
      <c r="H88" t="str">
        <f>"No longer supplied by manufacturer"</f>
        <v>No longer supplied by manufacturer</v>
      </c>
      <c r="I88">
        <v>87</v>
      </c>
    </row>
    <row r="89" spans="1:11">
      <c r="A89" t="s">
        <v>154</v>
      </c>
      <c r="B89">
        <v>135</v>
      </c>
      <c r="C89" t="s">
        <v>12</v>
      </c>
      <c r="D89" t="str">
        <f>"PA25036"</f>
        <v>PA25036</v>
      </c>
      <c r="E89" t="str">
        <f>"PA25036"</f>
        <v>PA25036</v>
      </c>
      <c r="F89" t="str">
        <f>""</f>
        <v/>
      </c>
      <c r="G89" t="str">
        <f>""</f>
        <v/>
      </c>
      <c r="H89" t="str">
        <f>"No longer supplied by manufacturer"</f>
        <v>No longer supplied by manufacturer</v>
      </c>
      <c r="I89">
        <v>88</v>
      </c>
    </row>
    <row r="90" spans="1:11">
      <c r="A90" t="s">
        <v>155</v>
      </c>
      <c r="B90">
        <v>135</v>
      </c>
      <c r="C90" t="s">
        <v>12</v>
      </c>
      <c r="D90" t="str">
        <f>"R10051"</f>
        <v>R10051</v>
      </c>
      <c r="E90" t="str">
        <f>"R10051"</f>
        <v>R10051</v>
      </c>
      <c r="F90" t="str">
        <f>""</f>
        <v/>
      </c>
      <c r="G90" t="str">
        <f>"5413978232611"</f>
        <v>5413978232611</v>
      </c>
      <c r="H90" t="str">
        <f>"Normal"</f>
        <v>Normal</v>
      </c>
      <c r="I90">
        <v>89</v>
      </c>
      <c r="J90" t="s">
        <v>156</v>
      </c>
    </row>
    <row r="91" spans="1:11">
      <c r="A91" t="s">
        <v>155</v>
      </c>
      <c r="B91">
        <v>135</v>
      </c>
      <c r="C91" t="s">
        <v>12</v>
      </c>
      <c r="D91" t="str">
        <f>"R10052"</f>
        <v>R10052</v>
      </c>
      <c r="E91" t="str">
        <f>"R10052"</f>
        <v>R10052</v>
      </c>
      <c r="F91" t="str">
        <f>""</f>
        <v/>
      </c>
      <c r="G91" t="str">
        <f>"5413978232628"</f>
        <v>5413978232628</v>
      </c>
      <c r="H91" t="str">
        <f>"Normal"</f>
        <v>Normal</v>
      </c>
      <c r="I91">
        <v>90</v>
      </c>
      <c r="J91" t="s">
        <v>157</v>
      </c>
    </row>
    <row r="92" spans="1:11">
      <c r="A92" t="s">
        <v>155</v>
      </c>
      <c r="B92">
        <v>135</v>
      </c>
      <c r="C92" t="s">
        <v>12</v>
      </c>
      <c r="D92" t="str">
        <f>"R10053"</f>
        <v>R10053</v>
      </c>
      <c r="E92" t="str">
        <f>"R10053"</f>
        <v>R10053</v>
      </c>
      <c r="F92" t="str">
        <f>""</f>
        <v/>
      </c>
      <c r="G92" t="str">
        <f>"5413978232635"</f>
        <v>5413978232635</v>
      </c>
      <c r="H92" t="str">
        <f>"Normal"</f>
        <v>Normal</v>
      </c>
      <c r="I92">
        <v>91</v>
      </c>
      <c r="J92" t="s">
        <v>158</v>
      </c>
    </row>
    <row r="93" spans="1:11">
      <c r="A93" t="s">
        <v>155</v>
      </c>
      <c r="B93">
        <v>135</v>
      </c>
      <c r="C93" t="s">
        <v>12</v>
      </c>
      <c r="D93" t="str">
        <f>"R10054"</f>
        <v>R10054</v>
      </c>
      <c r="E93" t="str">
        <f>"R10054"</f>
        <v>R10054</v>
      </c>
      <c r="F93" t="str">
        <f>""</f>
        <v/>
      </c>
      <c r="G93" t="str">
        <f>"5413978232642"</f>
        <v>5413978232642</v>
      </c>
      <c r="H93" t="str">
        <f>"Normal"</f>
        <v>Normal</v>
      </c>
      <c r="I93">
        <v>92</v>
      </c>
      <c r="J93" t="s">
        <v>159</v>
      </c>
    </row>
    <row r="94" spans="1:11">
      <c r="A94" t="s">
        <v>155</v>
      </c>
      <c r="B94">
        <v>135</v>
      </c>
      <c r="C94" t="s">
        <v>12</v>
      </c>
      <c r="D94" t="str">
        <f>"R10069"</f>
        <v>R10069</v>
      </c>
      <c r="E94" t="str">
        <f>"R10069"</f>
        <v>R10069</v>
      </c>
      <c r="F94" t="str">
        <f>""</f>
        <v/>
      </c>
      <c r="G94" t="str">
        <f>"5413978233472"</f>
        <v>5413978233472</v>
      </c>
      <c r="H94" t="str">
        <f>"Normal"</f>
        <v>Normal</v>
      </c>
      <c r="I94">
        <v>93</v>
      </c>
      <c r="J94" t="s">
        <v>160</v>
      </c>
    </row>
    <row r="95" spans="1:11">
      <c r="A95" t="s">
        <v>155</v>
      </c>
      <c r="B95">
        <v>135</v>
      </c>
      <c r="C95" t="s">
        <v>12</v>
      </c>
      <c r="D95" t="str">
        <f>"R10120KIT"</f>
        <v>R10120KIT</v>
      </c>
      <c r="E95" t="str">
        <f>"R10120 KIT"</f>
        <v>R10120 KIT</v>
      </c>
      <c r="F95" t="str">
        <f>""</f>
        <v/>
      </c>
      <c r="G95" t="str">
        <f>"5413978229864"</f>
        <v>5413978229864</v>
      </c>
      <c r="H95" t="str">
        <f>"in Preparation"</f>
        <v>in Preparation</v>
      </c>
      <c r="I95">
        <v>94</v>
      </c>
      <c r="J95" t="s">
        <v>161</v>
      </c>
    </row>
    <row r="96" spans="1:11">
      <c r="A96" t="s">
        <v>162</v>
      </c>
      <c r="B96">
        <v>480</v>
      </c>
      <c r="C96" t="s">
        <v>128</v>
      </c>
      <c r="D96" t="str">
        <f>"05P1168K"</f>
        <v>05P1168K</v>
      </c>
      <c r="E96" t="str">
        <f>"05P1168K"</f>
        <v>05P1168K</v>
      </c>
      <c r="F96" t="str">
        <f>"29095"</f>
        <v>29095</v>
      </c>
      <c r="G96" t="str">
        <f>"8032928097451"</f>
        <v>8032928097451</v>
      </c>
      <c r="H96" t="str">
        <f t="shared" ref="H96:H159" si="2">"Normal"</f>
        <v>Normal</v>
      </c>
      <c r="I96">
        <v>95</v>
      </c>
      <c r="J96" t="s">
        <v>163</v>
      </c>
      <c r="K96" s="1" t="s">
        <v>164</v>
      </c>
    </row>
    <row r="97" spans="1:11">
      <c r="A97" t="s">
        <v>162</v>
      </c>
      <c r="B97">
        <v>480</v>
      </c>
      <c r="C97" t="s">
        <v>128</v>
      </c>
      <c r="D97" t="str">
        <f>"05P1169K"</f>
        <v>05P1169K</v>
      </c>
      <c r="E97" t="str">
        <f>"05P1169K"</f>
        <v>05P1169K</v>
      </c>
      <c r="F97" t="str">
        <f>"29115"</f>
        <v>29115</v>
      </c>
      <c r="G97" t="str">
        <f>"8032928097482"</f>
        <v>8032928097482</v>
      </c>
      <c r="H97" t="str">
        <f t="shared" si="2"/>
        <v>Normal</v>
      </c>
      <c r="I97">
        <v>96</v>
      </c>
      <c r="J97" t="s">
        <v>165</v>
      </c>
      <c r="K97" s="1" t="s">
        <v>166</v>
      </c>
    </row>
    <row r="98" spans="1:11">
      <c r="A98" t="s">
        <v>162</v>
      </c>
      <c r="B98">
        <v>480</v>
      </c>
      <c r="C98" t="s">
        <v>128</v>
      </c>
      <c r="D98" t="str">
        <f>"05P1173K"</f>
        <v>05P1173K</v>
      </c>
      <c r="E98" t="str">
        <f>"05P1173K"</f>
        <v>05P1173K</v>
      </c>
      <c r="F98" t="str">
        <f>"29087"</f>
        <v>29087</v>
      </c>
      <c r="G98" t="str">
        <f>"8032928093408"</f>
        <v>8032928093408</v>
      </c>
      <c r="H98" t="str">
        <f t="shared" si="2"/>
        <v>Normal</v>
      </c>
      <c r="I98">
        <v>97</v>
      </c>
      <c r="J98" t="s">
        <v>167</v>
      </c>
      <c r="K98" s="1" t="s">
        <v>168</v>
      </c>
    </row>
    <row r="99" spans="1:11">
      <c r="A99" t="s">
        <v>162</v>
      </c>
      <c r="B99">
        <v>480</v>
      </c>
      <c r="C99" t="s">
        <v>128</v>
      </c>
      <c r="D99" t="str">
        <f>"05P1174K"</f>
        <v>05P1174K</v>
      </c>
      <c r="E99" t="str">
        <f>"05P1174K"</f>
        <v>05P1174K</v>
      </c>
      <c r="F99" t="str">
        <f>"29095"</f>
        <v>29095</v>
      </c>
      <c r="G99" t="str">
        <f>"8032928097468"</f>
        <v>8032928097468</v>
      </c>
      <c r="H99" t="str">
        <f t="shared" si="2"/>
        <v>Normal</v>
      </c>
      <c r="I99">
        <v>98</v>
      </c>
      <c r="J99" t="s">
        <v>169</v>
      </c>
      <c r="K99" t="s">
        <v>170</v>
      </c>
    </row>
    <row r="100" spans="1:11">
      <c r="A100" t="s">
        <v>162</v>
      </c>
      <c r="B100">
        <v>480</v>
      </c>
      <c r="C100" t="s">
        <v>128</v>
      </c>
      <c r="D100" t="str">
        <f>"05P1175K"</f>
        <v>05P1175K</v>
      </c>
      <c r="E100" t="str">
        <f>"05P1175K"</f>
        <v>05P1175K</v>
      </c>
      <c r="F100" t="str">
        <f>"29124"</f>
        <v>29124</v>
      </c>
      <c r="G100" t="str">
        <f>"8032928133975"</f>
        <v>8032928133975</v>
      </c>
      <c r="H100" t="str">
        <f t="shared" si="2"/>
        <v>Normal</v>
      </c>
      <c r="I100">
        <v>99</v>
      </c>
      <c r="J100" t="s">
        <v>171</v>
      </c>
      <c r="K100" t="s">
        <v>172</v>
      </c>
    </row>
    <row r="101" spans="1:11">
      <c r="A101" t="s">
        <v>162</v>
      </c>
      <c r="B101">
        <v>480</v>
      </c>
      <c r="C101" t="s">
        <v>128</v>
      </c>
      <c r="D101" t="str">
        <f>"05P1182K"</f>
        <v>05P1182K</v>
      </c>
      <c r="E101" t="str">
        <f>"05P1182K"</f>
        <v>05P1182K</v>
      </c>
      <c r="F101" t="str">
        <f>"29150"</f>
        <v>29150</v>
      </c>
      <c r="G101" t="str">
        <f>"8032928133982"</f>
        <v>8032928133982</v>
      </c>
      <c r="H101" t="str">
        <f t="shared" si="2"/>
        <v>Normal</v>
      </c>
      <c r="I101">
        <v>100</v>
      </c>
      <c r="J101" t="s">
        <v>173</v>
      </c>
      <c r="K101" t="s">
        <v>174</v>
      </c>
    </row>
    <row r="102" spans="1:11">
      <c r="A102" t="s">
        <v>162</v>
      </c>
      <c r="B102">
        <v>480</v>
      </c>
      <c r="C102" t="s">
        <v>128</v>
      </c>
      <c r="D102" t="str">
        <f>"05P1185K"</f>
        <v>05P1185K</v>
      </c>
      <c r="E102" t="str">
        <f>"05P1185K"</f>
        <v>05P1185K</v>
      </c>
      <c r="F102" t="str">
        <f>"29165"</f>
        <v>29165</v>
      </c>
      <c r="G102" t="str">
        <f>"8032928097475"</f>
        <v>8032928097475</v>
      </c>
      <c r="H102" t="str">
        <f t="shared" si="2"/>
        <v>Normal</v>
      </c>
      <c r="I102">
        <v>101</v>
      </c>
      <c r="J102" t="s">
        <v>175</v>
      </c>
      <c r="K102" t="s">
        <v>176</v>
      </c>
    </row>
    <row r="103" spans="1:11">
      <c r="A103" t="s">
        <v>162</v>
      </c>
      <c r="B103">
        <v>480</v>
      </c>
      <c r="C103" t="s">
        <v>128</v>
      </c>
      <c r="D103" t="str">
        <f>"05P1186K"</f>
        <v>05P1186K</v>
      </c>
      <c r="E103" t="str">
        <f>"05P1186K"</f>
        <v>05P1186K</v>
      </c>
      <c r="F103" t="str">
        <f>"29171"</f>
        <v>29171</v>
      </c>
      <c r="G103" t="str">
        <f>"8032928129510"</f>
        <v>8032928129510</v>
      </c>
      <c r="H103" t="str">
        <f t="shared" si="2"/>
        <v>Normal</v>
      </c>
      <c r="I103">
        <v>102</v>
      </c>
      <c r="J103" t="s">
        <v>177</v>
      </c>
      <c r="K103" t="s">
        <v>178</v>
      </c>
    </row>
    <row r="104" spans="1:11">
      <c r="A104" t="s">
        <v>162</v>
      </c>
      <c r="B104">
        <v>480</v>
      </c>
      <c r="C104" t="s">
        <v>128</v>
      </c>
      <c r="D104" t="str">
        <f>"05P1187K"</f>
        <v>05P1187K</v>
      </c>
      <c r="E104" t="str">
        <f>"05P1187K"</f>
        <v>05P1187K</v>
      </c>
      <c r="F104" t="str">
        <f>"29167"</f>
        <v>29167</v>
      </c>
      <c r="G104" t="str">
        <f>"8032928097444"</f>
        <v>8032928097444</v>
      </c>
      <c r="H104" t="str">
        <f t="shared" si="2"/>
        <v>Normal</v>
      </c>
      <c r="I104">
        <v>103</v>
      </c>
      <c r="J104" t="s">
        <v>179</v>
      </c>
      <c r="K104" t="s">
        <v>180</v>
      </c>
    </row>
    <row r="105" spans="1:11">
      <c r="A105" t="s">
        <v>162</v>
      </c>
      <c r="B105">
        <v>480</v>
      </c>
      <c r="C105" t="s">
        <v>128</v>
      </c>
      <c r="D105" t="str">
        <f>"05P670K"</f>
        <v>05P670K</v>
      </c>
      <c r="E105" t="str">
        <f>"05P670K"</f>
        <v>05P670K</v>
      </c>
      <c r="F105" t="str">
        <f>"23070"</f>
        <v>23070</v>
      </c>
      <c r="G105" t="str">
        <f>"8032928155137"</f>
        <v>8032928155137</v>
      </c>
      <c r="H105" t="str">
        <f t="shared" si="2"/>
        <v>Normal</v>
      </c>
      <c r="I105">
        <v>104</v>
      </c>
      <c r="J105" t="s">
        <v>181</v>
      </c>
      <c r="K105" s="1" t="s">
        <v>182</v>
      </c>
    </row>
    <row r="106" spans="1:11">
      <c r="A106" t="s">
        <v>162</v>
      </c>
      <c r="B106">
        <v>480</v>
      </c>
      <c r="C106" t="s">
        <v>128</v>
      </c>
      <c r="D106" t="str">
        <f>"05P671K"</f>
        <v>05P671K</v>
      </c>
      <c r="E106" t="str">
        <f>"05P671K"</f>
        <v>05P671K</v>
      </c>
      <c r="F106" t="str">
        <f>"23070"</f>
        <v>23070</v>
      </c>
      <c r="G106" t="str">
        <f>"8032928155144"</f>
        <v>8032928155144</v>
      </c>
      <c r="H106" t="str">
        <f t="shared" si="2"/>
        <v>Normal</v>
      </c>
      <c r="I106">
        <v>105</v>
      </c>
      <c r="J106" t="s">
        <v>183</v>
      </c>
      <c r="K106" t="s">
        <v>184</v>
      </c>
    </row>
    <row r="107" spans="1:11">
      <c r="A107" t="s">
        <v>162</v>
      </c>
      <c r="B107">
        <v>480</v>
      </c>
      <c r="C107" t="s">
        <v>128</v>
      </c>
      <c r="D107" t="str">
        <f>"05P763K"</f>
        <v>05P763K</v>
      </c>
      <c r="E107" t="str">
        <f>"05P763K"</f>
        <v>05P763K</v>
      </c>
      <c r="F107" t="str">
        <f>"23705"</f>
        <v>23705</v>
      </c>
      <c r="G107" t="str">
        <f>"8032928154109"</f>
        <v>8032928154109</v>
      </c>
      <c r="H107" t="str">
        <f t="shared" si="2"/>
        <v>Normal</v>
      </c>
      <c r="I107">
        <v>106</v>
      </c>
      <c r="J107" t="s">
        <v>185</v>
      </c>
      <c r="K107" s="1" t="s">
        <v>186</v>
      </c>
    </row>
    <row r="108" spans="1:11">
      <c r="A108" t="s">
        <v>162</v>
      </c>
      <c r="B108">
        <v>480</v>
      </c>
      <c r="C108" t="s">
        <v>128</v>
      </c>
      <c r="D108" t="str">
        <f>"05P764K"</f>
        <v>05P764K</v>
      </c>
      <c r="E108" t="str">
        <f>"05P764K"</f>
        <v>05P764K</v>
      </c>
      <c r="F108" t="str">
        <f>"23708"</f>
        <v>23708</v>
      </c>
      <c r="G108" t="str">
        <f>"8032928154116"</f>
        <v>8032928154116</v>
      </c>
      <c r="H108" t="str">
        <f t="shared" si="2"/>
        <v>Normal</v>
      </c>
      <c r="I108">
        <v>107</v>
      </c>
      <c r="J108" t="s">
        <v>187</v>
      </c>
      <c r="K108" s="1" t="s">
        <v>188</v>
      </c>
    </row>
    <row r="109" spans="1:11">
      <c r="A109" t="s">
        <v>162</v>
      </c>
      <c r="B109">
        <v>480</v>
      </c>
      <c r="C109" t="s">
        <v>128</v>
      </c>
      <c r="D109" t="str">
        <f>"05P1683K"</f>
        <v>05P1683K</v>
      </c>
      <c r="E109" t="str">
        <f>"05P1683K"</f>
        <v>05P1683K</v>
      </c>
      <c r="F109" t="str">
        <f>"29183"</f>
        <v>29183</v>
      </c>
      <c r="G109" t="str">
        <f>"8032928102858"</f>
        <v>8032928102858</v>
      </c>
      <c r="H109" t="str">
        <f t="shared" si="2"/>
        <v>Normal</v>
      </c>
      <c r="I109">
        <v>108</v>
      </c>
      <c r="J109" t="s">
        <v>189</v>
      </c>
      <c r="K109" t="s">
        <v>190</v>
      </c>
    </row>
    <row r="110" spans="1:11">
      <c r="A110" t="s">
        <v>162</v>
      </c>
      <c r="B110">
        <v>480</v>
      </c>
      <c r="C110" t="s">
        <v>128</v>
      </c>
      <c r="D110" t="str">
        <f>"05P1684K"</f>
        <v>05P1684K</v>
      </c>
      <c r="E110" t="str">
        <f>"05P1684K"</f>
        <v>05P1684K</v>
      </c>
      <c r="F110" t="str">
        <f>"29162"</f>
        <v>29162</v>
      </c>
      <c r="G110" t="str">
        <f>"8032928102872"</f>
        <v>8032928102872</v>
      </c>
      <c r="H110" t="str">
        <f t="shared" si="2"/>
        <v>Normal</v>
      </c>
      <c r="I110">
        <v>109</v>
      </c>
      <c r="J110" t="s">
        <v>191</v>
      </c>
      <c r="K110" t="s">
        <v>192</v>
      </c>
    </row>
    <row r="111" spans="1:11">
      <c r="A111" t="s">
        <v>162</v>
      </c>
      <c r="B111">
        <v>480</v>
      </c>
      <c r="C111" t="s">
        <v>128</v>
      </c>
      <c r="D111" t="str">
        <f>"05P1826A"</f>
        <v>05P1826A</v>
      </c>
      <c r="E111" t="str">
        <f>"05P1826A"</f>
        <v>05P1826A</v>
      </c>
      <c r="F111" t="str">
        <f>"24606"</f>
        <v>24606</v>
      </c>
      <c r="G111" t="str">
        <f>"8032928134934"</f>
        <v>8032928134934</v>
      </c>
      <c r="H111" t="str">
        <f t="shared" si="2"/>
        <v>Normal</v>
      </c>
      <c r="I111">
        <v>110</v>
      </c>
      <c r="J111" t="s">
        <v>193</v>
      </c>
      <c r="K111" t="s">
        <v>194</v>
      </c>
    </row>
    <row r="112" spans="1:11">
      <c r="A112" t="s">
        <v>162</v>
      </c>
      <c r="B112">
        <v>480</v>
      </c>
      <c r="C112" t="s">
        <v>128</v>
      </c>
      <c r="D112" t="str">
        <f>"05P1826B"</f>
        <v>05P1826B</v>
      </c>
      <c r="E112" t="str">
        <f>"05P1826B"</f>
        <v>05P1826B</v>
      </c>
      <c r="F112" t="str">
        <f>"24606"</f>
        <v>24606</v>
      </c>
      <c r="G112" t="str">
        <f>"8032928134941"</f>
        <v>8032928134941</v>
      </c>
      <c r="H112" t="str">
        <f t="shared" si="2"/>
        <v>Normal</v>
      </c>
      <c r="I112">
        <v>111</v>
      </c>
      <c r="J112" t="s">
        <v>195</v>
      </c>
      <c r="K112" t="s">
        <v>196</v>
      </c>
    </row>
    <row r="113" spans="1:11">
      <c r="A113" t="s">
        <v>162</v>
      </c>
      <c r="B113">
        <v>480</v>
      </c>
      <c r="C113" t="s">
        <v>128</v>
      </c>
      <c r="D113" t="str">
        <f>"05P1827"</f>
        <v>05P1827</v>
      </c>
      <c r="E113" t="str">
        <f>"05P1827"</f>
        <v>05P1827</v>
      </c>
      <c r="F113" t="str">
        <f>"25819"</f>
        <v>25819</v>
      </c>
      <c r="G113" t="str">
        <f>"8032928134958"</f>
        <v>8032928134958</v>
      </c>
      <c r="H113" t="str">
        <f t="shared" si="2"/>
        <v>Normal</v>
      </c>
      <c r="I113">
        <v>112</v>
      </c>
      <c r="J113" t="s">
        <v>197</v>
      </c>
      <c r="K113" t="s">
        <v>198</v>
      </c>
    </row>
    <row r="114" spans="1:11">
      <c r="A114" t="s">
        <v>162</v>
      </c>
      <c r="B114">
        <v>480</v>
      </c>
      <c r="C114" t="s">
        <v>128</v>
      </c>
      <c r="D114" t="str">
        <f>"05P1836"</f>
        <v>05P1836</v>
      </c>
      <c r="E114" t="str">
        <f>"05P1836"</f>
        <v>05P1836</v>
      </c>
      <c r="F114" t="str">
        <f>"22035"</f>
        <v>22035</v>
      </c>
      <c r="G114" t="str">
        <f>"8032928135252"</f>
        <v>8032928135252</v>
      </c>
      <c r="H114" t="str">
        <f t="shared" si="2"/>
        <v>Normal</v>
      </c>
      <c r="I114">
        <v>113</v>
      </c>
      <c r="J114" t="s">
        <v>199</v>
      </c>
      <c r="K114" t="s">
        <v>200</v>
      </c>
    </row>
    <row r="115" spans="1:11">
      <c r="A115" t="s">
        <v>162</v>
      </c>
      <c r="B115">
        <v>480</v>
      </c>
      <c r="C115" t="s">
        <v>128</v>
      </c>
      <c r="D115" t="str">
        <f>"05P1840"</f>
        <v>05P1840</v>
      </c>
      <c r="E115" t="str">
        <f>"05P1840"</f>
        <v>05P1840</v>
      </c>
      <c r="F115" t="str">
        <f>"5SP1840"</f>
        <v>5SP1840</v>
      </c>
      <c r="G115" t="str">
        <f>"8032928136648"</f>
        <v>8032928136648</v>
      </c>
      <c r="H115" t="str">
        <f t="shared" si="2"/>
        <v>Normal</v>
      </c>
      <c r="I115">
        <v>114</v>
      </c>
      <c r="J115" t="s">
        <v>201</v>
      </c>
      <c r="K115" s="1" t="s">
        <v>202</v>
      </c>
    </row>
    <row r="116" spans="1:11">
      <c r="A116" t="s">
        <v>162</v>
      </c>
      <c r="B116">
        <v>480</v>
      </c>
      <c r="C116" t="s">
        <v>128</v>
      </c>
      <c r="D116" t="str">
        <f>"05P1845"</f>
        <v>05P1845</v>
      </c>
      <c r="E116" t="str">
        <f>"05P1845"</f>
        <v>05P1845</v>
      </c>
      <c r="F116" t="str">
        <f>"25896"</f>
        <v>25896</v>
      </c>
      <c r="G116" t="str">
        <f>"8032928136693"</f>
        <v>8032928136693</v>
      </c>
      <c r="H116" t="str">
        <f t="shared" si="2"/>
        <v>Normal</v>
      </c>
      <c r="I116">
        <v>115</v>
      </c>
      <c r="J116" t="s">
        <v>203</v>
      </c>
      <c r="K116" t="s">
        <v>204</v>
      </c>
    </row>
    <row r="117" spans="1:11">
      <c r="A117" t="s">
        <v>162</v>
      </c>
      <c r="B117">
        <v>480</v>
      </c>
      <c r="C117" t="s">
        <v>128</v>
      </c>
      <c r="D117" t="str">
        <f>"05P1854"</f>
        <v>05P1854</v>
      </c>
      <c r="E117" t="str">
        <f>"05P1854"</f>
        <v>05P1854</v>
      </c>
      <c r="F117" t="str">
        <f>"25028"</f>
        <v>25028</v>
      </c>
      <c r="G117" t="str">
        <f>"8032928147965"</f>
        <v>8032928147965</v>
      </c>
      <c r="H117" t="str">
        <f t="shared" si="2"/>
        <v>Normal</v>
      </c>
      <c r="I117">
        <v>116</v>
      </c>
      <c r="J117" t="s">
        <v>205</v>
      </c>
      <c r="K117" t="s">
        <v>206</v>
      </c>
    </row>
    <row r="118" spans="1:11">
      <c r="A118" t="s">
        <v>162</v>
      </c>
      <c r="B118">
        <v>480</v>
      </c>
      <c r="C118" t="s">
        <v>128</v>
      </c>
      <c r="D118" t="str">
        <f>"05P1855"</f>
        <v>05P1855</v>
      </c>
      <c r="E118" t="str">
        <f>"05P1855"</f>
        <v>05P1855</v>
      </c>
      <c r="F118" t="str">
        <f>"21381"</f>
        <v>21381</v>
      </c>
      <c r="G118" t="str">
        <f>"8032928147972"</f>
        <v>8032928147972</v>
      </c>
      <c r="H118" t="str">
        <f t="shared" si="2"/>
        <v>Normal</v>
      </c>
      <c r="I118">
        <v>117</v>
      </c>
      <c r="J118" t="s">
        <v>207</v>
      </c>
      <c r="K118" s="1" t="s">
        <v>208</v>
      </c>
    </row>
    <row r="119" spans="1:11">
      <c r="A119" t="s">
        <v>162</v>
      </c>
      <c r="B119">
        <v>480</v>
      </c>
      <c r="C119" t="s">
        <v>128</v>
      </c>
      <c r="D119" t="str">
        <f>"05P1859"</f>
        <v>05P1859</v>
      </c>
      <c r="E119" t="str">
        <f>"05P1859"</f>
        <v>05P1859</v>
      </c>
      <c r="F119" t="str">
        <f>"29291"</f>
        <v>29291</v>
      </c>
      <c r="G119" t="str">
        <f>"8032928149983"</f>
        <v>8032928149983</v>
      </c>
      <c r="H119" t="str">
        <f t="shared" si="2"/>
        <v>Normal</v>
      </c>
      <c r="I119">
        <v>118</v>
      </c>
      <c r="J119" t="s">
        <v>209</v>
      </c>
      <c r="K119" t="s">
        <v>210</v>
      </c>
    </row>
    <row r="120" spans="1:11">
      <c r="A120" t="s">
        <v>162</v>
      </c>
      <c r="B120">
        <v>480</v>
      </c>
      <c r="C120" t="s">
        <v>128</v>
      </c>
      <c r="D120" t="str">
        <f>"05P1868"</f>
        <v>05P1868</v>
      </c>
      <c r="E120" t="str">
        <f>"05P1868"</f>
        <v>05P1868</v>
      </c>
      <c r="F120" t="str">
        <f>"20669"</f>
        <v>20669</v>
      </c>
      <c r="G120" t="str">
        <f>"8032928150224"</f>
        <v>8032928150224</v>
      </c>
      <c r="H120" t="str">
        <f t="shared" si="2"/>
        <v>Normal</v>
      </c>
      <c r="I120">
        <v>119</v>
      </c>
      <c r="J120" t="s">
        <v>211</v>
      </c>
      <c r="K120" t="s">
        <v>212</v>
      </c>
    </row>
    <row r="121" spans="1:11">
      <c r="A121" t="s">
        <v>162</v>
      </c>
      <c r="B121">
        <v>480</v>
      </c>
      <c r="C121" t="s">
        <v>128</v>
      </c>
      <c r="D121" t="str">
        <f>"05P1872"</f>
        <v>05P1872</v>
      </c>
      <c r="E121" t="str">
        <f>"05P1872"</f>
        <v>05P1872</v>
      </c>
      <c r="F121" t="str">
        <f>"29274"</f>
        <v>29274</v>
      </c>
      <c r="G121" t="str">
        <f>"8032928153867"</f>
        <v>8032928153867</v>
      </c>
      <c r="H121" t="str">
        <f t="shared" si="2"/>
        <v>Normal</v>
      </c>
      <c r="I121">
        <v>120</v>
      </c>
      <c r="J121" t="s">
        <v>213</v>
      </c>
      <c r="K121" t="s">
        <v>214</v>
      </c>
    </row>
    <row r="122" spans="1:11">
      <c r="A122" t="s">
        <v>162</v>
      </c>
      <c r="B122">
        <v>480</v>
      </c>
      <c r="C122" t="s">
        <v>128</v>
      </c>
      <c r="D122" t="str">
        <f>"05P1873"</f>
        <v>05P1873</v>
      </c>
      <c r="E122" t="str">
        <f>"05P1873"</f>
        <v>05P1873</v>
      </c>
      <c r="F122" t="str">
        <f>"25827"</f>
        <v>25827</v>
      </c>
      <c r="G122" t="str">
        <f>"8032928153874"</f>
        <v>8032928153874</v>
      </c>
      <c r="H122" t="str">
        <f t="shared" si="2"/>
        <v>Normal</v>
      </c>
      <c r="I122">
        <v>121</v>
      </c>
      <c r="J122" t="s">
        <v>215</v>
      </c>
      <c r="K122" t="s">
        <v>216</v>
      </c>
    </row>
    <row r="123" spans="1:11">
      <c r="A123" t="s">
        <v>162</v>
      </c>
      <c r="B123">
        <v>480</v>
      </c>
      <c r="C123" t="s">
        <v>128</v>
      </c>
      <c r="D123" t="str">
        <f>"05P1878"</f>
        <v>05P1878</v>
      </c>
      <c r="E123" t="str">
        <f>"05P1878"</f>
        <v>05P1878</v>
      </c>
      <c r="F123" t="str">
        <f>"23705"</f>
        <v>23705</v>
      </c>
      <c r="G123" t="str">
        <f>"8032928154093"</f>
        <v>8032928154093</v>
      </c>
      <c r="H123" t="str">
        <f t="shared" si="2"/>
        <v>Normal</v>
      </c>
      <c r="I123">
        <v>122</v>
      </c>
      <c r="J123" t="s">
        <v>217</v>
      </c>
      <c r="K123" s="1" t="s">
        <v>218</v>
      </c>
    </row>
    <row r="124" spans="1:11">
      <c r="A124" t="s">
        <v>162</v>
      </c>
      <c r="B124">
        <v>480</v>
      </c>
      <c r="C124" t="s">
        <v>128</v>
      </c>
      <c r="D124" t="str">
        <f>"05P1879"</f>
        <v>05P1879</v>
      </c>
      <c r="E124" t="str">
        <f>"05P1879"</f>
        <v>05P1879</v>
      </c>
      <c r="F124" t="str">
        <f>"25736"</f>
        <v>25736</v>
      </c>
      <c r="G124" t="str">
        <f>"8032928154345"</f>
        <v>8032928154345</v>
      </c>
      <c r="H124" t="str">
        <f t="shared" si="2"/>
        <v>Normal</v>
      </c>
      <c r="I124">
        <v>123</v>
      </c>
      <c r="J124" t="s">
        <v>219</v>
      </c>
      <c r="K124" s="1" t="s">
        <v>220</v>
      </c>
    </row>
    <row r="125" spans="1:11">
      <c r="A125" t="s">
        <v>162</v>
      </c>
      <c r="B125">
        <v>480</v>
      </c>
      <c r="C125" t="s">
        <v>128</v>
      </c>
      <c r="D125" t="str">
        <f>"05P1882"</f>
        <v>05P1882</v>
      </c>
      <c r="E125" t="str">
        <f>"05P1882"</f>
        <v>05P1882</v>
      </c>
      <c r="F125" t="str">
        <f>"25213"</f>
        <v>25213</v>
      </c>
      <c r="G125" t="str">
        <f>"8032928155052"</f>
        <v>8032928155052</v>
      </c>
      <c r="H125" t="str">
        <f t="shared" si="2"/>
        <v>Normal</v>
      </c>
      <c r="I125">
        <v>124</v>
      </c>
      <c r="J125" t="s">
        <v>221</v>
      </c>
      <c r="K125" s="1" t="s">
        <v>222</v>
      </c>
    </row>
    <row r="126" spans="1:11">
      <c r="A126" t="s">
        <v>162</v>
      </c>
      <c r="B126">
        <v>480</v>
      </c>
      <c r="C126" t="s">
        <v>128</v>
      </c>
      <c r="D126" t="str">
        <f>"05P1885"</f>
        <v>05P1885</v>
      </c>
      <c r="E126" t="str">
        <f>"05P1885"</f>
        <v>05P1885</v>
      </c>
      <c r="F126" t="str">
        <f>"24695"</f>
        <v>24695</v>
      </c>
      <c r="G126" t="str">
        <f>"8032928154765"</f>
        <v>8032928154765</v>
      </c>
      <c r="H126" t="str">
        <f t="shared" si="2"/>
        <v>Normal</v>
      </c>
      <c r="I126">
        <v>125</v>
      </c>
      <c r="J126" t="s">
        <v>223</v>
      </c>
      <c r="K126" s="1" t="s">
        <v>224</v>
      </c>
    </row>
    <row r="127" spans="1:11">
      <c r="A127" t="s">
        <v>162</v>
      </c>
      <c r="B127">
        <v>480</v>
      </c>
      <c r="C127" t="s">
        <v>128</v>
      </c>
      <c r="D127" t="str">
        <f>"05P1897"</f>
        <v>05P1897</v>
      </c>
      <c r="E127" t="str">
        <f>"05P1897"</f>
        <v>05P1897</v>
      </c>
      <c r="F127" t="str">
        <f>"29306"</f>
        <v>29306</v>
      </c>
      <c r="G127" t="str">
        <f>"8032928154604"</f>
        <v>8032928154604</v>
      </c>
      <c r="H127" t="str">
        <f t="shared" si="2"/>
        <v>Normal</v>
      </c>
      <c r="I127">
        <v>126</v>
      </c>
      <c r="J127" t="s">
        <v>225</v>
      </c>
      <c r="K127" s="1" t="s">
        <v>226</v>
      </c>
    </row>
    <row r="128" spans="1:11">
      <c r="A128" t="s">
        <v>162</v>
      </c>
      <c r="B128">
        <v>480</v>
      </c>
      <c r="C128" t="s">
        <v>128</v>
      </c>
      <c r="D128" t="str">
        <f>"05P1898"</f>
        <v>05P1898</v>
      </c>
      <c r="E128" t="str">
        <f>"05P1898"</f>
        <v>05P1898</v>
      </c>
      <c r="F128" t="str">
        <f>"29307"</f>
        <v>29307</v>
      </c>
      <c r="G128" t="str">
        <f>"8032928154611"</f>
        <v>8032928154611</v>
      </c>
      <c r="H128" t="str">
        <f t="shared" si="2"/>
        <v>Normal</v>
      </c>
      <c r="I128">
        <v>127</v>
      </c>
      <c r="J128" t="s">
        <v>227</v>
      </c>
      <c r="K128" s="1" t="s">
        <v>228</v>
      </c>
    </row>
    <row r="129" spans="1:11">
      <c r="A129" t="s">
        <v>162</v>
      </c>
      <c r="B129">
        <v>480</v>
      </c>
      <c r="C129" t="s">
        <v>128</v>
      </c>
      <c r="D129" t="str">
        <f>"05P1899"</f>
        <v>05P1899</v>
      </c>
      <c r="E129" t="str">
        <f>"05P1899"</f>
        <v>05P1899</v>
      </c>
      <c r="F129" t="str">
        <f>"29308"</f>
        <v>29308</v>
      </c>
      <c r="G129" t="str">
        <f>"8032928154628"</f>
        <v>8032928154628</v>
      </c>
      <c r="H129" t="str">
        <f t="shared" si="2"/>
        <v>Normal</v>
      </c>
      <c r="I129">
        <v>128</v>
      </c>
      <c r="J129" t="s">
        <v>229</v>
      </c>
      <c r="K129" t="s">
        <v>230</v>
      </c>
    </row>
    <row r="130" spans="1:11">
      <c r="A130" t="s">
        <v>162</v>
      </c>
      <c r="B130">
        <v>480</v>
      </c>
      <c r="C130" t="s">
        <v>128</v>
      </c>
      <c r="D130" t="str">
        <f>"05P1901"</f>
        <v>05P1901</v>
      </c>
      <c r="E130" t="str">
        <f>"05P1901"</f>
        <v>05P1901</v>
      </c>
      <c r="F130" t="str">
        <f>"22087"</f>
        <v>22087</v>
      </c>
      <c r="G130" t="str">
        <f>"8032928155113"</f>
        <v>8032928155113</v>
      </c>
      <c r="H130" t="str">
        <f t="shared" si="2"/>
        <v>Normal</v>
      </c>
      <c r="I130">
        <v>129</v>
      </c>
      <c r="J130" t="s">
        <v>231</v>
      </c>
      <c r="K130" s="1" t="s">
        <v>232</v>
      </c>
    </row>
    <row r="131" spans="1:11">
      <c r="A131" t="s">
        <v>162</v>
      </c>
      <c r="B131">
        <v>480</v>
      </c>
      <c r="C131" t="s">
        <v>128</v>
      </c>
      <c r="D131" t="str">
        <f>"05P1902"</f>
        <v>05P1902</v>
      </c>
      <c r="E131" t="str">
        <f>"05P1902"</f>
        <v>05P1902</v>
      </c>
      <c r="F131" t="str">
        <f>"24465"</f>
        <v>24465</v>
      </c>
      <c r="G131" t="str">
        <f>"8032928155151"</f>
        <v>8032928155151</v>
      </c>
      <c r="H131" t="str">
        <f t="shared" si="2"/>
        <v>Normal</v>
      </c>
      <c r="I131">
        <v>130</v>
      </c>
      <c r="J131" t="s">
        <v>233</v>
      </c>
      <c r="K131" t="s">
        <v>234</v>
      </c>
    </row>
    <row r="132" spans="1:11">
      <c r="A132" t="s">
        <v>162</v>
      </c>
      <c r="B132">
        <v>480</v>
      </c>
      <c r="C132" t="s">
        <v>128</v>
      </c>
      <c r="D132" t="str">
        <f>"05P1903"</f>
        <v>05P1903</v>
      </c>
      <c r="E132" t="str">
        <f>"05P1903"</f>
        <v>05P1903</v>
      </c>
      <c r="F132" t="str">
        <f>"24557"</f>
        <v>24557</v>
      </c>
      <c r="G132" t="str">
        <f>"8032928155304"</f>
        <v>8032928155304</v>
      </c>
      <c r="H132" t="str">
        <f t="shared" si="2"/>
        <v>Normal</v>
      </c>
      <c r="I132">
        <v>131</v>
      </c>
      <c r="J132" t="s">
        <v>235</v>
      </c>
      <c r="K132" t="s">
        <v>236</v>
      </c>
    </row>
    <row r="133" spans="1:11">
      <c r="A133" t="s">
        <v>162</v>
      </c>
      <c r="B133">
        <v>480</v>
      </c>
      <c r="C133" t="s">
        <v>128</v>
      </c>
      <c r="D133" t="str">
        <f>"05P1904"</f>
        <v>05P1904</v>
      </c>
      <c r="E133" t="str">
        <f>"05P1904"</f>
        <v>05P1904</v>
      </c>
      <c r="F133" t="str">
        <f>"22062"</f>
        <v>22062</v>
      </c>
      <c r="G133" t="str">
        <f>"8032928155311"</f>
        <v>8032928155311</v>
      </c>
      <c r="H133" t="str">
        <f t="shared" si="2"/>
        <v>Normal</v>
      </c>
      <c r="I133">
        <v>132</v>
      </c>
      <c r="J133" t="s">
        <v>237</v>
      </c>
      <c r="K133" t="s">
        <v>238</v>
      </c>
    </row>
    <row r="134" spans="1:11">
      <c r="A134" t="s">
        <v>162</v>
      </c>
      <c r="B134">
        <v>480</v>
      </c>
      <c r="C134" t="s">
        <v>128</v>
      </c>
      <c r="D134" t="str">
        <f>"05P1905"</f>
        <v>05P1905</v>
      </c>
      <c r="E134" t="str">
        <f>"05P1905"</f>
        <v>05P1905</v>
      </c>
      <c r="F134" t="str">
        <f>"22101"</f>
        <v>22101</v>
      </c>
      <c r="G134" t="str">
        <f>"8032928155328"</f>
        <v>8032928155328</v>
      </c>
      <c r="H134" t="str">
        <f t="shared" si="2"/>
        <v>Normal</v>
      </c>
      <c r="I134">
        <v>133</v>
      </c>
      <c r="J134" t="s">
        <v>239</v>
      </c>
      <c r="K134" t="s">
        <v>240</v>
      </c>
    </row>
    <row r="135" spans="1:11">
      <c r="A135" t="s">
        <v>162</v>
      </c>
      <c r="B135">
        <v>480</v>
      </c>
      <c r="C135" t="s">
        <v>128</v>
      </c>
      <c r="D135" t="str">
        <f>"05P1906"</f>
        <v>05P1906</v>
      </c>
      <c r="E135" t="str">
        <f>"05P1906"</f>
        <v>05P1906</v>
      </c>
      <c r="F135" t="str">
        <f>"21436"</f>
        <v>21436</v>
      </c>
      <c r="G135" t="str">
        <f>"8032928155335"</f>
        <v>8032928155335</v>
      </c>
      <c r="H135" t="str">
        <f t="shared" si="2"/>
        <v>Normal</v>
      </c>
      <c r="I135">
        <v>134</v>
      </c>
      <c r="J135" t="s">
        <v>241</v>
      </c>
      <c r="K135" s="1" t="s">
        <v>242</v>
      </c>
    </row>
    <row r="136" spans="1:11">
      <c r="A136" t="s">
        <v>162</v>
      </c>
      <c r="B136">
        <v>480</v>
      </c>
      <c r="C136" t="s">
        <v>128</v>
      </c>
      <c r="D136" t="str">
        <f>"05P1907"</f>
        <v>05P1907</v>
      </c>
      <c r="E136" t="str">
        <f>"05P1907"</f>
        <v>05P1907</v>
      </c>
      <c r="F136" t="str">
        <f>"24072"</f>
        <v>24072</v>
      </c>
      <c r="G136" t="str">
        <f>"8032928155342"</f>
        <v>8032928155342</v>
      </c>
      <c r="H136" t="str">
        <f t="shared" si="2"/>
        <v>Normal</v>
      </c>
      <c r="I136">
        <v>135</v>
      </c>
      <c r="J136" t="s">
        <v>243</v>
      </c>
      <c r="K136" t="s">
        <v>244</v>
      </c>
    </row>
    <row r="137" spans="1:11">
      <c r="A137" t="s">
        <v>245</v>
      </c>
      <c r="B137">
        <v>480</v>
      </c>
      <c r="C137" t="s">
        <v>128</v>
      </c>
      <c r="D137" t="str">
        <f>"1489"</f>
        <v>1489</v>
      </c>
      <c r="E137" t="str">
        <f>"1489"</f>
        <v>1489</v>
      </c>
      <c r="F137" t="str">
        <f>"P30347"</f>
        <v>P30347</v>
      </c>
      <c r="G137" t="str">
        <f>"8032928081351"</f>
        <v>8032928081351</v>
      </c>
      <c r="H137" t="str">
        <f t="shared" si="2"/>
        <v>Normal</v>
      </c>
      <c r="I137">
        <v>136</v>
      </c>
      <c r="J137" t="s">
        <v>246</v>
      </c>
      <c r="K137" t="s">
        <v>247</v>
      </c>
    </row>
    <row r="138" spans="1:11">
      <c r="A138" t="s">
        <v>245</v>
      </c>
      <c r="B138">
        <v>480</v>
      </c>
      <c r="C138" t="s">
        <v>128</v>
      </c>
      <c r="D138" t="str">
        <f>"1560"</f>
        <v>1560</v>
      </c>
      <c r="E138" t="str">
        <f>"1560"</f>
        <v>1560</v>
      </c>
      <c r="F138" t="str">
        <f>"P30366"</f>
        <v>P30366</v>
      </c>
      <c r="G138" t="str">
        <f>"8032928082358"</f>
        <v>8032928082358</v>
      </c>
      <c r="H138" t="str">
        <f t="shared" si="2"/>
        <v>Normal</v>
      </c>
      <c r="I138">
        <v>137</v>
      </c>
      <c r="J138" t="s">
        <v>248</v>
      </c>
      <c r="K138" t="s">
        <v>249</v>
      </c>
    </row>
    <row r="139" spans="1:11">
      <c r="A139" t="s">
        <v>245</v>
      </c>
      <c r="B139">
        <v>480</v>
      </c>
      <c r="C139" t="s">
        <v>128</v>
      </c>
      <c r="D139" t="str">
        <f>"1588"</f>
        <v>1588</v>
      </c>
      <c r="E139" t="str">
        <f>"1588"</f>
        <v>1588</v>
      </c>
      <c r="F139" t="str">
        <f>"P30394"</f>
        <v>P30394</v>
      </c>
      <c r="G139" t="str">
        <f>"8032928093040"</f>
        <v>8032928093040</v>
      </c>
      <c r="H139" t="str">
        <f t="shared" si="2"/>
        <v>Normal</v>
      </c>
      <c r="I139">
        <v>138</v>
      </c>
      <c r="J139" t="s">
        <v>250</v>
      </c>
      <c r="K139" t="s">
        <v>251</v>
      </c>
    </row>
    <row r="140" spans="1:11">
      <c r="A140" t="s">
        <v>245</v>
      </c>
      <c r="B140">
        <v>480</v>
      </c>
      <c r="C140" t="s">
        <v>128</v>
      </c>
      <c r="D140" t="str">
        <f>"1590"</f>
        <v>1590</v>
      </c>
      <c r="E140" t="str">
        <f>"1590"</f>
        <v>1590</v>
      </c>
      <c r="F140" t="str">
        <f>"P30396"</f>
        <v>P30396</v>
      </c>
      <c r="G140" t="str">
        <f>"8032928093064"</f>
        <v>8032928093064</v>
      </c>
      <c r="H140" t="str">
        <f t="shared" si="2"/>
        <v>Normal</v>
      </c>
      <c r="I140">
        <v>139</v>
      </c>
      <c r="J140" t="s">
        <v>252</v>
      </c>
      <c r="K140" s="1" t="s">
        <v>253</v>
      </c>
    </row>
    <row r="141" spans="1:11">
      <c r="A141" t="s">
        <v>245</v>
      </c>
      <c r="B141">
        <v>480</v>
      </c>
      <c r="C141" t="s">
        <v>128</v>
      </c>
      <c r="D141" t="str">
        <f>"1593"</f>
        <v>1593</v>
      </c>
      <c r="E141" t="str">
        <f>"1593"</f>
        <v>1593</v>
      </c>
      <c r="F141" t="str">
        <f>"P30399"</f>
        <v>P30399</v>
      </c>
      <c r="G141" t="str">
        <f>"8032928093095"</f>
        <v>8032928093095</v>
      </c>
      <c r="H141" t="str">
        <f t="shared" si="2"/>
        <v>Normal</v>
      </c>
      <c r="I141">
        <v>140</v>
      </c>
      <c r="J141" t="s">
        <v>254</v>
      </c>
      <c r="K141" s="1" t="s">
        <v>255</v>
      </c>
    </row>
    <row r="142" spans="1:11">
      <c r="A142" t="s">
        <v>162</v>
      </c>
      <c r="B142">
        <v>480</v>
      </c>
      <c r="C142" t="s">
        <v>128</v>
      </c>
      <c r="D142" t="str">
        <f>"05P824K"</f>
        <v>05P824K</v>
      </c>
      <c r="E142" t="str">
        <f>"05P824K"</f>
        <v>05P824K</v>
      </c>
      <c r="F142" t="str">
        <f>"29143"</f>
        <v>29143</v>
      </c>
      <c r="G142" t="str">
        <f>"8032928153447"</f>
        <v>8032928153447</v>
      </c>
      <c r="H142" t="str">
        <f t="shared" si="2"/>
        <v>Normal</v>
      </c>
      <c r="I142">
        <v>141</v>
      </c>
      <c r="J142" t="s">
        <v>256</v>
      </c>
      <c r="K142" t="s">
        <v>257</v>
      </c>
    </row>
    <row r="143" spans="1:11">
      <c r="A143" t="s">
        <v>258</v>
      </c>
      <c r="B143">
        <v>480</v>
      </c>
      <c r="C143" t="s">
        <v>128</v>
      </c>
      <c r="D143" t="str">
        <f>"2175"</f>
        <v>2175</v>
      </c>
      <c r="E143" t="str">
        <f>"2175"</f>
        <v>2175</v>
      </c>
      <c r="F143" t="str">
        <f>"F30080"</f>
        <v>F30080</v>
      </c>
      <c r="G143" t="str">
        <f>"8032928083430"</f>
        <v>8032928083430</v>
      </c>
      <c r="H143" t="str">
        <f t="shared" si="2"/>
        <v>Normal</v>
      </c>
      <c r="I143">
        <v>142</v>
      </c>
      <c r="J143" t="s">
        <v>259</v>
      </c>
      <c r="K143" t="s">
        <v>260</v>
      </c>
    </row>
    <row r="144" spans="1:11">
      <c r="A144" t="s">
        <v>258</v>
      </c>
      <c r="B144">
        <v>480</v>
      </c>
      <c r="C144" t="s">
        <v>128</v>
      </c>
      <c r="D144" t="str">
        <f>"2190"</f>
        <v>2190</v>
      </c>
      <c r="E144" t="str">
        <f>"2190"</f>
        <v>2190</v>
      </c>
      <c r="F144" t="str">
        <f>"F30095"</f>
        <v>F30095</v>
      </c>
      <c r="G144" t="str">
        <f>"8032928099158"</f>
        <v>8032928099158</v>
      </c>
      <c r="H144" t="str">
        <f t="shared" si="2"/>
        <v>Normal</v>
      </c>
      <c r="I144">
        <v>143</v>
      </c>
      <c r="J144" t="s">
        <v>261</v>
      </c>
      <c r="K144" t="s">
        <v>262</v>
      </c>
    </row>
    <row r="145" spans="1:11">
      <c r="A145" t="s">
        <v>258</v>
      </c>
      <c r="B145">
        <v>480</v>
      </c>
      <c r="C145" t="s">
        <v>128</v>
      </c>
      <c r="D145" t="str">
        <f>"2235"</f>
        <v>2235</v>
      </c>
      <c r="E145" t="str">
        <f>"2235"</f>
        <v>2235</v>
      </c>
      <c r="F145" t="str">
        <f>"F30119"</f>
        <v>F30119</v>
      </c>
      <c r="G145" t="str">
        <f>"8032928105040"</f>
        <v>8032928105040</v>
      </c>
      <c r="H145" t="str">
        <f t="shared" si="2"/>
        <v>Normal</v>
      </c>
      <c r="I145">
        <v>144</v>
      </c>
      <c r="J145" t="s">
        <v>263</v>
      </c>
      <c r="K145" t="s">
        <v>264</v>
      </c>
    </row>
    <row r="146" spans="1:11">
      <c r="A146" t="s">
        <v>258</v>
      </c>
      <c r="B146">
        <v>480</v>
      </c>
      <c r="C146" t="s">
        <v>128</v>
      </c>
      <c r="D146" t="str">
        <f>"2236"</f>
        <v>2236</v>
      </c>
      <c r="E146" t="str">
        <f>"2236"</f>
        <v>2236</v>
      </c>
      <c r="F146" t="str">
        <f>"F30120"</f>
        <v>F30120</v>
      </c>
      <c r="G146" t="str">
        <f>"8032928105057"</f>
        <v>8032928105057</v>
      </c>
      <c r="H146" t="str">
        <f t="shared" si="2"/>
        <v>Normal</v>
      </c>
      <c r="I146">
        <v>145</v>
      </c>
      <c r="J146" t="s">
        <v>265</v>
      </c>
      <c r="K146" t="s">
        <v>266</v>
      </c>
    </row>
    <row r="147" spans="1:11">
      <c r="A147" t="s">
        <v>258</v>
      </c>
      <c r="B147">
        <v>480</v>
      </c>
      <c r="C147" t="s">
        <v>128</v>
      </c>
      <c r="D147" t="str">
        <f>"2244"</f>
        <v>2244</v>
      </c>
      <c r="E147" t="str">
        <f>"2244"</f>
        <v>2244</v>
      </c>
      <c r="F147" t="str">
        <f>"F30128"</f>
        <v>F30128</v>
      </c>
      <c r="G147" t="str">
        <f>"8032928106597"</f>
        <v>8032928106597</v>
      </c>
      <c r="H147" t="str">
        <f t="shared" si="2"/>
        <v>Normal</v>
      </c>
      <c r="I147">
        <v>146</v>
      </c>
      <c r="J147" t="s">
        <v>267</v>
      </c>
      <c r="K147" t="s">
        <v>268</v>
      </c>
    </row>
    <row r="148" spans="1:11">
      <c r="A148" t="s">
        <v>258</v>
      </c>
      <c r="B148">
        <v>480</v>
      </c>
      <c r="C148" t="s">
        <v>128</v>
      </c>
      <c r="D148" t="str">
        <f>"2291"</f>
        <v>2291</v>
      </c>
      <c r="E148" t="str">
        <f>"2291"</f>
        <v>2291</v>
      </c>
      <c r="F148" t="str">
        <f>"F30175"</f>
        <v>F30175</v>
      </c>
      <c r="G148" t="str">
        <f>"8032928135726"</f>
        <v>8032928135726</v>
      </c>
      <c r="H148" t="str">
        <f t="shared" si="2"/>
        <v>Normal</v>
      </c>
      <c r="I148">
        <v>147</v>
      </c>
      <c r="J148" t="s">
        <v>269</v>
      </c>
      <c r="K148" t="s">
        <v>270</v>
      </c>
    </row>
    <row r="149" spans="1:11">
      <c r="A149" t="s">
        <v>258</v>
      </c>
      <c r="B149">
        <v>480</v>
      </c>
      <c r="C149" t="s">
        <v>128</v>
      </c>
      <c r="D149" t="str">
        <f>"2294"</f>
        <v>2294</v>
      </c>
      <c r="E149" t="str">
        <f>"2294"</f>
        <v>2294</v>
      </c>
      <c r="F149" t="str">
        <f>"F30178"</f>
        <v>F30178</v>
      </c>
      <c r="G149" t="str">
        <f>"8032928136594"</f>
        <v>8032928136594</v>
      </c>
      <c r="H149" t="str">
        <f t="shared" si="2"/>
        <v>Normal</v>
      </c>
      <c r="I149">
        <v>148</v>
      </c>
      <c r="J149" t="s">
        <v>271</v>
      </c>
      <c r="K149" s="1" t="s">
        <v>272</v>
      </c>
    </row>
    <row r="150" spans="1:11">
      <c r="A150" t="s">
        <v>258</v>
      </c>
      <c r="B150">
        <v>480</v>
      </c>
      <c r="C150" t="s">
        <v>128</v>
      </c>
      <c r="D150" t="str">
        <f>"2320"</f>
        <v>2320</v>
      </c>
      <c r="E150" t="str">
        <f>"2320"</f>
        <v>2320</v>
      </c>
      <c r="F150" t="str">
        <f>"F30187"</f>
        <v>F30187</v>
      </c>
      <c r="G150" t="str">
        <f>"8032928136990"</f>
        <v>8032928136990</v>
      </c>
      <c r="H150" t="str">
        <f t="shared" si="2"/>
        <v>Normal</v>
      </c>
      <c r="I150">
        <v>149</v>
      </c>
      <c r="J150" t="s">
        <v>273</v>
      </c>
      <c r="K150" t="s">
        <v>274</v>
      </c>
    </row>
    <row r="151" spans="1:11">
      <c r="A151" t="s">
        <v>258</v>
      </c>
      <c r="B151">
        <v>480</v>
      </c>
      <c r="C151" t="s">
        <v>128</v>
      </c>
      <c r="D151" t="str">
        <f>"2321"</f>
        <v>2321</v>
      </c>
      <c r="E151" t="str">
        <f>"2321"</f>
        <v>2321</v>
      </c>
      <c r="F151" t="str">
        <f>"F30188"</f>
        <v>F30188</v>
      </c>
      <c r="G151" t="str">
        <f>"8032928137003"</f>
        <v>8032928137003</v>
      </c>
      <c r="H151" t="str">
        <f t="shared" si="2"/>
        <v>Normal</v>
      </c>
      <c r="I151">
        <v>150</v>
      </c>
      <c r="J151" t="s">
        <v>275</v>
      </c>
      <c r="K151" t="s">
        <v>276</v>
      </c>
    </row>
    <row r="152" spans="1:11">
      <c r="A152" t="s">
        <v>258</v>
      </c>
      <c r="B152">
        <v>480</v>
      </c>
      <c r="C152" t="s">
        <v>128</v>
      </c>
      <c r="D152" t="str">
        <f>"2322"</f>
        <v>2322</v>
      </c>
      <c r="E152" t="str">
        <f>"2322"</f>
        <v>2322</v>
      </c>
      <c r="F152" t="str">
        <f>"F30189"</f>
        <v>F30189</v>
      </c>
      <c r="G152" t="str">
        <f>"8032928137010"</f>
        <v>8032928137010</v>
      </c>
      <c r="H152" t="str">
        <f t="shared" si="2"/>
        <v>Normal</v>
      </c>
      <c r="I152">
        <v>151</v>
      </c>
      <c r="J152" t="s">
        <v>277</v>
      </c>
      <c r="K152" s="1" t="s">
        <v>278</v>
      </c>
    </row>
    <row r="153" spans="1:11">
      <c r="A153" t="s">
        <v>258</v>
      </c>
      <c r="B153">
        <v>480</v>
      </c>
      <c r="C153" t="s">
        <v>128</v>
      </c>
      <c r="D153" t="str">
        <f>"2339"</f>
        <v>2339</v>
      </c>
      <c r="E153" t="str">
        <f>"2339"</f>
        <v>2339</v>
      </c>
      <c r="F153" t="str">
        <f>"F30206"</f>
        <v>F30206</v>
      </c>
      <c r="G153" t="str">
        <f>"8032928150040"</f>
        <v>8032928150040</v>
      </c>
      <c r="H153" t="str">
        <f t="shared" si="2"/>
        <v>Normal</v>
      </c>
      <c r="I153">
        <v>152</v>
      </c>
      <c r="J153" t="s">
        <v>279</v>
      </c>
      <c r="K153" t="s">
        <v>280</v>
      </c>
    </row>
    <row r="154" spans="1:11">
      <c r="A154" t="s">
        <v>258</v>
      </c>
      <c r="B154">
        <v>480</v>
      </c>
      <c r="C154" t="s">
        <v>128</v>
      </c>
      <c r="D154" t="str">
        <f>"2340"</f>
        <v>2340</v>
      </c>
      <c r="E154" t="str">
        <f>"2340"</f>
        <v>2340</v>
      </c>
      <c r="F154" t="str">
        <f>"F30207"</f>
        <v>F30207</v>
      </c>
      <c r="G154" t="str">
        <f>"8032928150057"</f>
        <v>8032928150057</v>
      </c>
      <c r="H154" t="str">
        <f t="shared" si="2"/>
        <v>Normal</v>
      </c>
      <c r="I154">
        <v>153</v>
      </c>
      <c r="J154" t="s">
        <v>281</v>
      </c>
      <c r="K154" t="s">
        <v>282</v>
      </c>
    </row>
    <row r="155" spans="1:11">
      <c r="A155" t="s">
        <v>258</v>
      </c>
      <c r="B155">
        <v>480</v>
      </c>
      <c r="C155" t="s">
        <v>128</v>
      </c>
      <c r="D155" t="str">
        <f>"2342"</f>
        <v>2342</v>
      </c>
      <c r="E155" t="str">
        <f>"2342"</f>
        <v>2342</v>
      </c>
      <c r="F155" t="str">
        <f>"F30209"</f>
        <v>F30209</v>
      </c>
      <c r="G155" t="str">
        <f>"8032928150064"</f>
        <v>8032928150064</v>
      </c>
      <c r="H155" t="str">
        <f t="shared" si="2"/>
        <v>Normal</v>
      </c>
      <c r="I155">
        <v>154</v>
      </c>
      <c r="J155" t="s">
        <v>283</v>
      </c>
      <c r="K155" t="s">
        <v>284</v>
      </c>
    </row>
    <row r="156" spans="1:11">
      <c r="A156" t="s">
        <v>258</v>
      </c>
      <c r="B156">
        <v>480</v>
      </c>
      <c r="C156" t="s">
        <v>128</v>
      </c>
      <c r="D156" t="str">
        <f>"2343"</f>
        <v>2343</v>
      </c>
      <c r="E156" t="str">
        <f>"2343"</f>
        <v>2343</v>
      </c>
      <c r="F156" t="str">
        <f>"F30210"</f>
        <v>F30210</v>
      </c>
      <c r="G156" t="str">
        <f>"8032928150101"</f>
        <v>8032928150101</v>
      </c>
      <c r="H156" t="str">
        <f t="shared" si="2"/>
        <v>Normal</v>
      </c>
      <c r="I156">
        <v>155</v>
      </c>
      <c r="J156" t="s">
        <v>285</v>
      </c>
      <c r="K156" s="1" t="s">
        <v>286</v>
      </c>
    </row>
    <row r="157" spans="1:11">
      <c r="A157" t="s">
        <v>258</v>
      </c>
      <c r="B157">
        <v>480</v>
      </c>
      <c r="C157" t="s">
        <v>128</v>
      </c>
      <c r="D157" t="str">
        <f>"2345"</f>
        <v>2345</v>
      </c>
      <c r="E157" t="str">
        <f>"2345"</f>
        <v>2345</v>
      </c>
      <c r="F157" t="str">
        <f>"F30212"</f>
        <v>F30212</v>
      </c>
      <c r="G157" t="str">
        <f>"8032928150231"</f>
        <v>8032928150231</v>
      </c>
      <c r="H157" t="str">
        <f t="shared" si="2"/>
        <v>Normal</v>
      </c>
      <c r="I157">
        <v>156</v>
      </c>
      <c r="J157" t="s">
        <v>287</v>
      </c>
      <c r="K157" t="s">
        <v>288</v>
      </c>
    </row>
    <row r="158" spans="1:11">
      <c r="A158" t="s">
        <v>258</v>
      </c>
      <c r="B158">
        <v>480</v>
      </c>
      <c r="C158" t="s">
        <v>128</v>
      </c>
      <c r="D158" t="str">
        <f>"2365"</f>
        <v>2365</v>
      </c>
      <c r="E158" t="str">
        <f>"2365"</f>
        <v>2365</v>
      </c>
      <c r="F158" t="str">
        <f>"F30232"</f>
        <v>F30232</v>
      </c>
      <c r="G158" t="str">
        <f>"8032928152563"</f>
        <v>8032928152563</v>
      </c>
      <c r="H158" t="str">
        <f t="shared" si="2"/>
        <v>Normal</v>
      </c>
      <c r="I158">
        <v>157</v>
      </c>
      <c r="J158" t="s">
        <v>289</v>
      </c>
      <c r="K158" t="s">
        <v>290</v>
      </c>
    </row>
    <row r="159" spans="1:11">
      <c r="A159" t="s">
        <v>258</v>
      </c>
      <c r="B159">
        <v>480</v>
      </c>
      <c r="C159" t="s">
        <v>128</v>
      </c>
      <c r="D159" t="str">
        <f>"2368"</f>
        <v>2368</v>
      </c>
      <c r="E159" t="str">
        <f>"2368"</f>
        <v>2368</v>
      </c>
      <c r="F159" t="str">
        <f>"F30235"</f>
        <v>F30235</v>
      </c>
      <c r="G159" t="str">
        <f>"8032928153126"</f>
        <v>8032928153126</v>
      </c>
      <c r="H159" t="str">
        <f t="shared" si="2"/>
        <v>Normal</v>
      </c>
      <c r="I159">
        <v>158</v>
      </c>
      <c r="J159" t="s">
        <v>291</v>
      </c>
      <c r="K159" t="s">
        <v>292</v>
      </c>
    </row>
    <row r="160" spans="1:11">
      <c r="A160" t="s">
        <v>258</v>
      </c>
      <c r="B160">
        <v>480</v>
      </c>
      <c r="C160" t="s">
        <v>128</v>
      </c>
      <c r="D160" t="str">
        <f>"2369"</f>
        <v>2369</v>
      </c>
      <c r="E160" t="str">
        <f>"2369"</f>
        <v>2369</v>
      </c>
      <c r="F160" t="str">
        <f>"F30236"</f>
        <v>F30236</v>
      </c>
      <c r="G160" t="str">
        <f>"8032928153133"</f>
        <v>8032928153133</v>
      </c>
      <c r="H160" t="str">
        <f t="shared" ref="H160:H223" si="3">"Normal"</f>
        <v>Normal</v>
      </c>
      <c r="I160">
        <v>159</v>
      </c>
      <c r="J160" t="s">
        <v>293</v>
      </c>
      <c r="K160" t="s">
        <v>294</v>
      </c>
    </row>
    <row r="161" spans="1:11">
      <c r="A161" t="s">
        <v>258</v>
      </c>
      <c r="B161">
        <v>480</v>
      </c>
      <c r="C161" t="s">
        <v>128</v>
      </c>
      <c r="D161" t="str">
        <f>"2370"</f>
        <v>2370</v>
      </c>
      <c r="E161" t="str">
        <f>"2370"</f>
        <v>2370</v>
      </c>
      <c r="F161" t="str">
        <f>"F30237"</f>
        <v>F30237</v>
      </c>
      <c r="G161" t="str">
        <f>"8032928153140"</f>
        <v>8032928153140</v>
      </c>
      <c r="H161" t="str">
        <f t="shared" si="3"/>
        <v>Normal</v>
      </c>
      <c r="I161">
        <v>160</v>
      </c>
      <c r="J161" t="s">
        <v>295</v>
      </c>
      <c r="K161" t="s">
        <v>296</v>
      </c>
    </row>
    <row r="162" spans="1:11">
      <c r="A162" t="s">
        <v>258</v>
      </c>
      <c r="B162">
        <v>480</v>
      </c>
      <c r="C162" t="s">
        <v>128</v>
      </c>
      <c r="D162" t="str">
        <f>"2373"</f>
        <v>2373</v>
      </c>
      <c r="E162" t="str">
        <f>"2373"</f>
        <v>2373</v>
      </c>
      <c r="F162" t="str">
        <f>"F30240"</f>
        <v>F30240</v>
      </c>
      <c r="G162" t="str">
        <f>"8032928154741"</f>
        <v>8032928154741</v>
      </c>
      <c r="H162" t="str">
        <f t="shared" si="3"/>
        <v>Normal</v>
      </c>
      <c r="I162">
        <v>161</v>
      </c>
      <c r="J162" t="s">
        <v>297</v>
      </c>
      <c r="K162" s="1" t="s">
        <v>298</v>
      </c>
    </row>
    <row r="163" spans="1:11">
      <c r="A163" t="s">
        <v>258</v>
      </c>
      <c r="B163">
        <v>480</v>
      </c>
      <c r="C163" t="s">
        <v>128</v>
      </c>
      <c r="D163" t="str">
        <f>"2374"</f>
        <v>2374</v>
      </c>
      <c r="E163" t="str">
        <f>"2374"</f>
        <v>2374</v>
      </c>
      <c r="F163" t="str">
        <f>"F30241"</f>
        <v>F30241</v>
      </c>
      <c r="G163" t="str">
        <f>"8032928155106"</f>
        <v>8032928155106</v>
      </c>
      <c r="H163" t="str">
        <f t="shared" si="3"/>
        <v>Normal</v>
      </c>
      <c r="I163">
        <v>162</v>
      </c>
      <c r="J163" t="s">
        <v>299</v>
      </c>
      <c r="K163" t="s">
        <v>300</v>
      </c>
    </row>
    <row r="164" spans="1:11">
      <c r="A164" t="s">
        <v>301</v>
      </c>
      <c r="B164">
        <v>480</v>
      </c>
      <c r="C164" t="s">
        <v>128</v>
      </c>
      <c r="D164" t="str">
        <f>"3033"</f>
        <v>3033</v>
      </c>
      <c r="E164" t="str">
        <f>"3033"</f>
        <v>3033</v>
      </c>
      <c r="F164" t="str">
        <f>"M30041"</f>
        <v>M30041</v>
      </c>
      <c r="G164" t="str">
        <f>"8032928105071"</f>
        <v>8032928105071</v>
      </c>
      <c r="H164" t="str">
        <f t="shared" si="3"/>
        <v>Normal</v>
      </c>
      <c r="I164">
        <v>163</v>
      </c>
      <c r="J164" t="s">
        <v>302</v>
      </c>
      <c r="K164" t="s">
        <v>303</v>
      </c>
    </row>
    <row r="165" spans="1:11">
      <c r="A165" t="s">
        <v>301</v>
      </c>
      <c r="B165">
        <v>480</v>
      </c>
      <c r="C165" t="s">
        <v>128</v>
      </c>
      <c r="D165" t="str">
        <f>"3040"</f>
        <v>3040</v>
      </c>
      <c r="E165" t="str">
        <f>"3040"</f>
        <v>3040</v>
      </c>
      <c r="F165" t="str">
        <f>"M30048"</f>
        <v>M30048</v>
      </c>
      <c r="G165" t="str">
        <f>"8032928136600"</f>
        <v>8032928136600</v>
      </c>
      <c r="H165" t="str">
        <f t="shared" si="3"/>
        <v>Normal</v>
      </c>
      <c r="I165">
        <v>164</v>
      </c>
      <c r="J165" t="s">
        <v>304</v>
      </c>
      <c r="K165" t="s">
        <v>305</v>
      </c>
    </row>
    <row r="166" spans="1:11">
      <c r="A166" t="s">
        <v>301</v>
      </c>
      <c r="B166">
        <v>480</v>
      </c>
      <c r="C166" t="s">
        <v>128</v>
      </c>
      <c r="D166" t="str">
        <f>"3045"</f>
        <v>3045</v>
      </c>
      <c r="E166" t="str">
        <f>"3045"</f>
        <v>3045</v>
      </c>
      <c r="F166" t="str">
        <f>"M30053"</f>
        <v>M30053</v>
      </c>
      <c r="G166" t="str">
        <f>"8032928137164"</f>
        <v>8032928137164</v>
      </c>
      <c r="H166" t="str">
        <f t="shared" si="3"/>
        <v>Normal</v>
      </c>
      <c r="I166">
        <v>165</v>
      </c>
      <c r="J166" t="s">
        <v>306</v>
      </c>
      <c r="K166" t="s">
        <v>307</v>
      </c>
    </row>
    <row r="167" spans="1:11">
      <c r="A167" t="s">
        <v>301</v>
      </c>
      <c r="B167">
        <v>480</v>
      </c>
      <c r="C167" t="s">
        <v>128</v>
      </c>
      <c r="D167" t="str">
        <f>"3071"</f>
        <v>3071</v>
      </c>
      <c r="E167" t="str">
        <f>"3071"</f>
        <v>3071</v>
      </c>
      <c r="F167" t="str">
        <f>"M30079"</f>
        <v>M30079</v>
      </c>
      <c r="G167" t="str">
        <f>"8032928152570"</f>
        <v>8032928152570</v>
      </c>
      <c r="H167" t="str">
        <f t="shared" si="3"/>
        <v>Normal</v>
      </c>
      <c r="I167">
        <v>166</v>
      </c>
      <c r="J167" t="s">
        <v>308</v>
      </c>
      <c r="K167" s="1" t="s">
        <v>309</v>
      </c>
    </row>
    <row r="168" spans="1:11">
      <c r="A168" t="s">
        <v>301</v>
      </c>
      <c r="B168">
        <v>480</v>
      </c>
      <c r="C168" t="s">
        <v>128</v>
      </c>
      <c r="D168" t="str">
        <f>"3139"</f>
        <v>3139</v>
      </c>
      <c r="E168" t="str">
        <f>"3139"</f>
        <v>3139</v>
      </c>
      <c r="F168" t="str">
        <f>"M30147"</f>
        <v>M30147</v>
      </c>
      <c r="G168" t="str">
        <f>"8032928133920"</f>
        <v>8032928133920</v>
      </c>
      <c r="H168" t="str">
        <f t="shared" si="3"/>
        <v>Normal</v>
      </c>
      <c r="I168">
        <v>167</v>
      </c>
      <c r="J168" t="s">
        <v>310</v>
      </c>
      <c r="K168" t="s">
        <v>311</v>
      </c>
    </row>
    <row r="169" spans="1:11">
      <c r="A169" t="s">
        <v>312</v>
      </c>
      <c r="B169">
        <v>480</v>
      </c>
      <c r="C169" t="s">
        <v>128</v>
      </c>
      <c r="D169" t="str">
        <f>"3247"</f>
        <v>3247</v>
      </c>
      <c r="E169" t="str">
        <f>"3247"</f>
        <v>3247</v>
      </c>
      <c r="F169" t="str">
        <f>"M30234"</f>
        <v>M30234</v>
      </c>
      <c r="G169" t="str">
        <f>"8032928136815"</f>
        <v>8032928136815</v>
      </c>
      <c r="H169" t="str">
        <f t="shared" si="3"/>
        <v>Normal</v>
      </c>
      <c r="I169">
        <v>168</v>
      </c>
      <c r="J169" t="s">
        <v>313</v>
      </c>
      <c r="K169" t="s">
        <v>314</v>
      </c>
    </row>
    <row r="170" spans="1:11">
      <c r="A170" t="s">
        <v>312</v>
      </c>
      <c r="B170">
        <v>480</v>
      </c>
      <c r="C170" t="s">
        <v>128</v>
      </c>
      <c r="D170" t="str">
        <f>"3250"</f>
        <v>3250</v>
      </c>
      <c r="E170" t="str">
        <f>"3250"</f>
        <v>3250</v>
      </c>
      <c r="F170" t="str">
        <f>"M30237"</f>
        <v>M30237</v>
      </c>
      <c r="G170" t="str">
        <f>"8032928137409"</f>
        <v>8032928137409</v>
      </c>
      <c r="H170" t="str">
        <f t="shared" si="3"/>
        <v>Normal</v>
      </c>
      <c r="I170">
        <v>169</v>
      </c>
      <c r="J170" t="s">
        <v>315</v>
      </c>
      <c r="K170" t="s">
        <v>316</v>
      </c>
    </row>
    <row r="171" spans="1:11">
      <c r="A171" t="s">
        <v>312</v>
      </c>
      <c r="B171">
        <v>480</v>
      </c>
      <c r="C171" t="s">
        <v>128</v>
      </c>
      <c r="D171" t="str">
        <f>"3262"</f>
        <v>3262</v>
      </c>
      <c r="E171" t="str">
        <f>"3262"</f>
        <v>3262</v>
      </c>
      <c r="F171" t="str">
        <f>"M30249"</f>
        <v>M30249</v>
      </c>
      <c r="G171" t="str">
        <f>"8032928150521"</f>
        <v>8032928150521</v>
      </c>
      <c r="H171" t="str">
        <f t="shared" si="3"/>
        <v>Normal</v>
      </c>
      <c r="I171">
        <v>170</v>
      </c>
      <c r="J171" t="s">
        <v>317</v>
      </c>
      <c r="K171" s="1" t="s">
        <v>318</v>
      </c>
    </row>
    <row r="172" spans="1:11">
      <c r="A172" t="s">
        <v>312</v>
      </c>
      <c r="B172">
        <v>480</v>
      </c>
      <c r="C172" t="s">
        <v>128</v>
      </c>
      <c r="D172" t="str">
        <f>"3473"</f>
        <v>3473</v>
      </c>
      <c r="E172" t="str">
        <f>"3473"</f>
        <v>3473</v>
      </c>
      <c r="F172" t="str">
        <f>"M30445"</f>
        <v>M30445</v>
      </c>
      <c r="G172" t="str">
        <f>"8032928128643"</f>
        <v>8032928128643</v>
      </c>
      <c r="H172" t="str">
        <f t="shared" si="3"/>
        <v>Normal</v>
      </c>
      <c r="I172">
        <v>171</v>
      </c>
      <c r="J172" t="s">
        <v>319</v>
      </c>
      <c r="K172" s="1" t="s">
        <v>320</v>
      </c>
    </row>
    <row r="173" spans="1:11">
      <c r="A173" t="s">
        <v>312</v>
      </c>
      <c r="B173">
        <v>480</v>
      </c>
      <c r="C173" t="s">
        <v>128</v>
      </c>
      <c r="D173" t="str">
        <f>"3475"</f>
        <v>3475</v>
      </c>
      <c r="E173" t="str">
        <f>"3475"</f>
        <v>3475</v>
      </c>
      <c r="F173" t="str">
        <f>"M30447"</f>
        <v>M30447</v>
      </c>
      <c r="G173" t="str">
        <f>"8032928128667"</f>
        <v>8032928128667</v>
      </c>
      <c r="H173" t="str">
        <f t="shared" si="3"/>
        <v>Normal</v>
      </c>
      <c r="I173">
        <v>172</v>
      </c>
      <c r="J173" t="s">
        <v>321</v>
      </c>
      <c r="K173" s="1" t="s">
        <v>322</v>
      </c>
    </row>
    <row r="174" spans="1:11">
      <c r="A174" t="s">
        <v>323</v>
      </c>
      <c r="B174">
        <v>480</v>
      </c>
      <c r="C174" t="s">
        <v>128</v>
      </c>
      <c r="D174" t="str">
        <f>"5197"</f>
        <v>5197</v>
      </c>
      <c r="E174" t="str">
        <f>"5197"</f>
        <v>5197</v>
      </c>
      <c r="F174" t="str">
        <f>"C31189"</f>
        <v>C31189</v>
      </c>
      <c r="G174" t="str">
        <f>"8032928097376"</f>
        <v>8032928097376</v>
      </c>
      <c r="H174" t="str">
        <f t="shared" si="3"/>
        <v>Normal</v>
      </c>
      <c r="I174">
        <v>173</v>
      </c>
      <c r="J174" t="s">
        <v>324</v>
      </c>
      <c r="K174" t="s">
        <v>325</v>
      </c>
    </row>
    <row r="175" spans="1:11">
      <c r="A175" t="s">
        <v>323</v>
      </c>
      <c r="B175">
        <v>480</v>
      </c>
      <c r="C175" t="s">
        <v>128</v>
      </c>
      <c r="D175" t="str">
        <f>"5198"</f>
        <v>5198</v>
      </c>
      <c r="E175" t="str">
        <f>"5198"</f>
        <v>5198</v>
      </c>
      <c r="F175" t="str">
        <f>"C31190"</f>
        <v>C31190</v>
      </c>
      <c r="G175" t="str">
        <f>"8032928097383"</f>
        <v>8032928097383</v>
      </c>
      <c r="H175" t="str">
        <f t="shared" si="3"/>
        <v>Normal</v>
      </c>
      <c r="I175">
        <v>174</v>
      </c>
      <c r="J175" t="s">
        <v>326</v>
      </c>
      <c r="K175" t="s">
        <v>327</v>
      </c>
    </row>
    <row r="176" spans="1:11">
      <c r="A176" t="s">
        <v>323</v>
      </c>
      <c r="B176">
        <v>480</v>
      </c>
      <c r="C176" t="s">
        <v>128</v>
      </c>
      <c r="D176" t="str">
        <f>"5236"</f>
        <v>5236</v>
      </c>
      <c r="E176" t="str">
        <f>"5236"</f>
        <v>5236</v>
      </c>
      <c r="F176" t="str">
        <f>"C31224"</f>
        <v>C31224</v>
      </c>
      <c r="G176" t="str">
        <f>"8032928153072"</f>
        <v>8032928153072</v>
      </c>
      <c r="H176" t="str">
        <f t="shared" si="3"/>
        <v>Normal</v>
      </c>
      <c r="I176">
        <v>175</v>
      </c>
      <c r="J176" t="s">
        <v>328</v>
      </c>
      <c r="K176" t="s">
        <v>329</v>
      </c>
    </row>
    <row r="177" spans="1:11">
      <c r="A177" t="s">
        <v>323</v>
      </c>
      <c r="B177">
        <v>480</v>
      </c>
      <c r="C177" t="s">
        <v>128</v>
      </c>
      <c r="D177" t="str">
        <f>"5237"</f>
        <v>5237</v>
      </c>
      <c r="E177" t="str">
        <f>"5237"</f>
        <v>5237</v>
      </c>
      <c r="F177" t="str">
        <f>"C31225"</f>
        <v>C31225</v>
      </c>
      <c r="G177" t="str">
        <f>"8032928153089"</f>
        <v>8032928153089</v>
      </c>
      <c r="H177" t="str">
        <f t="shared" si="3"/>
        <v>Normal</v>
      </c>
      <c r="I177">
        <v>176</v>
      </c>
      <c r="J177" t="s">
        <v>330</v>
      </c>
      <c r="K177" t="s">
        <v>331</v>
      </c>
    </row>
    <row r="178" spans="1:11">
      <c r="A178" t="s">
        <v>323</v>
      </c>
      <c r="B178">
        <v>480</v>
      </c>
      <c r="C178" t="s">
        <v>128</v>
      </c>
      <c r="D178" t="str">
        <f>"5245"</f>
        <v>5245</v>
      </c>
      <c r="E178" t="str">
        <f>"5245"</f>
        <v>5245</v>
      </c>
      <c r="F178" t="str">
        <f>"C31233"</f>
        <v>C31233</v>
      </c>
      <c r="G178" t="str">
        <f>"8032928154772"</f>
        <v>8032928154772</v>
      </c>
      <c r="H178" t="str">
        <f t="shared" si="3"/>
        <v>Normal</v>
      </c>
      <c r="I178">
        <v>177</v>
      </c>
      <c r="J178" t="s">
        <v>332</v>
      </c>
      <c r="K178" t="s">
        <v>333</v>
      </c>
    </row>
    <row r="179" spans="1:11">
      <c r="A179" t="s">
        <v>323</v>
      </c>
      <c r="B179">
        <v>480</v>
      </c>
      <c r="C179" t="s">
        <v>128</v>
      </c>
      <c r="D179" t="str">
        <f>"5246"</f>
        <v>5246</v>
      </c>
      <c r="E179" t="str">
        <f>"5246"</f>
        <v>5246</v>
      </c>
      <c r="F179" t="str">
        <f>"C31234"</f>
        <v>C31234</v>
      </c>
      <c r="G179" t="str">
        <f>"8032928154789"</f>
        <v>8032928154789</v>
      </c>
      <c r="H179" t="str">
        <f t="shared" si="3"/>
        <v>Normal</v>
      </c>
      <c r="I179">
        <v>178</v>
      </c>
      <c r="J179" t="s">
        <v>334</v>
      </c>
      <c r="K179" t="s">
        <v>335</v>
      </c>
    </row>
    <row r="180" spans="1:11">
      <c r="A180" t="s">
        <v>323</v>
      </c>
      <c r="B180">
        <v>480</v>
      </c>
      <c r="C180" t="s">
        <v>128</v>
      </c>
      <c r="D180" t="str">
        <f>"5247"</f>
        <v>5247</v>
      </c>
      <c r="E180" t="str">
        <f>"5247"</f>
        <v>5247</v>
      </c>
      <c r="F180" t="str">
        <f>"C31235"</f>
        <v>C31235</v>
      </c>
      <c r="G180" t="str">
        <f>"8032928154796"</f>
        <v>8032928154796</v>
      </c>
      <c r="H180" t="str">
        <f t="shared" si="3"/>
        <v>Normal</v>
      </c>
      <c r="I180">
        <v>179</v>
      </c>
      <c r="J180" t="s">
        <v>336</v>
      </c>
      <c r="K180" t="s">
        <v>337</v>
      </c>
    </row>
    <row r="181" spans="1:11">
      <c r="A181" t="s">
        <v>323</v>
      </c>
      <c r="B181">
        <v>480</v>
      </c>
      <c r="C181" t="s">
        <v>128</v>
      </c>
      <c r="D181" t="str">
        <f>"5266"</f>
        <v>5266</v>
      </c>
      <c r="E181" t="str">
        <f>"5266"</f>
        <v>5266</v>
      </c>
      <c r="F181" t="str">
        <f>"C31238"</f>
        <v>C31238</v>
      </c>
      <c r="G181" t="str">
        <f>"8032928154826"</f>
        <v>8032928154826</v>
      </c>
      <c r="H181" t="str">
        <f t="shared" si="3"/>
        <v>Normal</v>
      </c>
      <c r="I181">
        <v>180</v>
      </c>
      <c r="J181" t="s">
        <v>338</v>
      </c>
      <c r="K181" t="s">
        <v>339</v>
      </c>
    </row>
    <row r="182" spans="1:11">
      <c r="A182" t="s">
        <v>323</v>
      </c>
      <c r="B182">
        <v>480</v>
      </c>
      <c r="C182" t="s">
        <v>128</v>
      </c>
      <c r="D182" t="str">
        <f>"5267"</f>
        <v>5267</v>
      </c>
      <c r="E182" t="str">
        <f>"5267"</f>
        <v>5267</v>
      </c>
      <c r="F182" t="str">
        <f>"C31237"</f>
        <v>C31237</v>
      </c>
      <c r="G182" t="str">
        <f>"8032928154819"</f>
        <v>8032928154819</v>
      </c>
      <c r="H182" t="str">
        <f t="shared" si="3"/>
        <v>Normal</v>
      </c>
      <c r="I182">
        <v>181</v>
      </c>
      <c r="J182" t="s">
        <v>340</v>
      </c>
      <c r="K182" t="s">
        <v>341</v>
      </c>
    </row>
    <row r="183" spans="1:11">
      <c r="A183" t="s">
        <v>323</v>
      </c>
      <c r="B183">
        <v>480</v>
      </c>
      <c r="C183" t="s">
        <v>128</v>
      </c>
      <c r="D183" t="str">
        <f>"5268"</f>
        <v>5268</v>
      </c>
      <c r="E183" t="str">
        <f>"5268"</f>
        <v>5268</v>
      </c>
      <c r="F183" t="str">
        <f>"C31236"</f>
        <v>C31236</v>
      </c>
      <c r="G183" t="str">
        <f>"8032928154802"</f>
        <v>8032928154802</v>
      </c>
      <c r="H183" t="str">
        <f t="shared" si="3"/>
        <v>Normal</v>
      </c>
      <c r="I183">
        <v>182</v>
      </c>
      <c r="J183" t="s">
        <v>342</v>
      </c>
      <c r="K183" s="1" t="s">
        <v>343</v>
      </c>
    </row>
    <row r="184" spans="1:11">
      <c r="A184" t="s">
        <v>245</v>
      </c>
      <c r="B184">
        <v>480</v>
      </c>
      <c r="C184" t="s">
        <v>128</v>
      </c>
      <c r="D184" t="str">
        <f>"6018"</f>
        <v>6018</v>
      </c>
      <c r="E184" t="str">
        <f>"6018"</f>
        <v>6018</v>
      </c>
      <c r="F184" t="str">
        <f>"P30554"</f>
        <v>P30554</v>
      </c>
      <c r="G184" t="str">
        <f>"8032928125604"</f>
        <v>8032928125604</v>
      </c>
      <c r="H184" t="str">
        <f t="shared" si="3"/>
        <v>Normal</v>
      </c>
      <c r="I184">
        <v>183</v>
      </c>
      <c r="J184" t="s">
        <v>344</v>
      </c>
      <c r="K184" s="1" t="s">
        <v>345</v>
      </c>
    </row>
    <row r="185" spans="1:11">
      <c r="A185" t="s">
        <v>245</v>
      </c>
      <c r="B185">
        <v>480</v>
      </c>
      <c r="C185" t="s">
        <v>128</v>
      </c>
      <c r="D185" t="str">
        <f>"6019"</f>
        <v>6019</v>
      </c>
      <c r="E185" t="str">
        <f>"6019"</f>
        <v>6019</v>
      </c>
      <c r="F185" t="str">
        <f>"P30555"</f>
        <v>P30555</v>
      </c>
      <c r="G185" t="str">
        <f>"8032928125673"</f>
        <v>8032928125673</v>
      </c>
      <c r="H185" t="str">
        <f t="shared" si="3"/>
        <v>Normal</v>
      </c>
      <c r="I185">
        <v>184</v>
      </c>
      <c r="J185" t="s">
        <v>346</v>
      </c>
      <c r="K185" t="s">
        <v>347</v>
      </c>
    </row>
    <row r="186" spans="1:11">
      <c r="A186" t="s">
        <v>245</v>
      </c>
      <c r="B186">
        <v>480</v>
      </c>
      <c r="C186" t="s">
        <v>128</v>
      </c>
      <c r="D186" t="str">
        <f>"6039"</f>
        <v>6039</v>
      </c>
      <c r="E186" t="str">
        <f>"6039"</f>
        <v>6039</v>
      </c>
      <c r="F186" t="str">
        <f>"P30575"</f>
        <v>P30575</v>
      </c>
      <c r="G186" t="str">
        <f>"8032928134637"</f>
        <v>8032928134637</v>
      </c>
      <c r="H186" t="str">
        <f t="shared" si="3"/>
        <v>Normal</v>
      </c>
      <c r="I186">
        <v>185</v>
      </c>
      <c r="J186" t="s">
        <v>348</v>
      </c>
      <c r="K186" t="s">
        <v>349</v>
      </c>
    </row>
    <row r="187" spans="1:11">
      <c r="A187" t="s">
        <v>245</v>
      </c>
      <c r="B187">
        <v>480</v>
      </c>
      <c r="C187" t="s">
        <v>128</v>
      </c>
      <c r="D187" t="str">
        <f>"6055"</f>
        <v>6055</v>
      </c>
      <c r="E187" t="str">
        <f>"6055"</f>
        <v>6055</v>
      </c>
      <c r="F187" t="str">
        <f>"P30591"</f>
        <v>P30591</v>
      </c>
      <c r="G187" t="str">
        <f>"8032928135306"</f>
        <v>8032928135306</v>
      </c>
      <c r="H187" t="str">
        <f t="shared" si="3"/>
        <v>Normal</v>
      </c>
      <c r="I187">
        <v>186</v>
      </c>
      <c r="J187" t="s">
        <v>350</v>
      </c>
      <c r="K187" t="s">
        <v>351</v>
      </c>
    </row>
    <row r="188" spans="1:11">
      <c r="A188" t="s">
        <v>245</v>
      </c>
      <c r="B188">
        <v>480</v>
      </c>
      <c r="C188" t="s">
        <v>128</v>
      </c>
      <c r="D188" t="str">
        <f>"6056"</f>
        <v>6056</v>
      </c>
      <c r="E188" t="str">
        <f>"6056"</f>
        <v>6056</v>
      </c>
      <c r="F188" t="str">
        <f>"P30592"</f>
        <v>P30592</v>
      </c>
      <c r="G188" t="str">
        <f>"8032928135511"</f>
        <v>8032928135511</v>
      </c>
      <c r="H188" t="str">
        <f t="shared" si="3"/>
        <v>Normal</v>
      </c>
      <c r="I188">
        <v>187</v>
      </c>
      <c r="J188" t="s">
        <v>352</v>
      </c>
      <c r="K188" s="1" t="s">
        <v>353</v>
      </c>
    </row>
    <row r="189" spans="1:11">
      <c r="A189" t="s">
        <v>245</v>
      </c>
      <c r="B189">
        <v>480</v>
      </c>
      <c r="C189" t="s">
        <v>128</v>
      </c>
      <c r="D189" t="str">
        <f>"6102"</f>
        <v>6102</v>
      </c>
      <c r="E189" t="str">
        <f>"6102"</f>
        <v>6102</v>
      </c>
      <c r="F189" t="str">
        <f>"P30638"</f>
        <v>P30638</v>
      </c>
      <c r="G189" t="str">
        <f>"8032928153218"</f>
        <v>8032928153218</v>
      </c>
      <c r="H189" t="str">
        <f t="shared" si="3"/>
        <v>Normal</v>
      </c>
      <c r="I189">
        <v>188</v>
      </c>
      <c r="J189" t="s">
        <v>354</v>
      </c>
      <c r="K189" t="s">
        <v>355</v>
      </c>
    </row>
    <row r="190" spans="1:11">
      <c r="A190" t="s">
        <v>245</v>
      </c>
      <c r="B190">
        <v>480</v>
      </c>
      <c r="C190" t="s">
        <v>128</v>
      </c>
      <c r="D190" t="str">
        <f>"6103"</f>
        <v>6103</v>
      </c>
      <c r="E190" t="str">
        <f>"6103"</f>
        <v>6103</v>
      </c>
      <c r="F190" t="str">
        <f>"P30639"</f>
        <v>P30639</v>
      </c>
      <c r="G190" t="str">
        <f>"8032928153225"</f>
        <v>8032928153225</v>
      </c>
      <c r="H190" t="str">
        <f t="shared" si="3"/>
        <v>Normal</v>
      </c>
      <c r="I190">
        <v>189</v>
      </c>
      <c r="J190" t="s">
        <v>356</v>
      </c>
      <c r="K190" t="s">
        <v>357</v>
      </c>
    </row>
    <row r="191" spans="1:11">
      <c r="A191" t="s">
        <v>245</v>
      </c>
      <c r="B191">
        <v>480</v>
      </c>
      <c r="C191" t="s">
        <v>128</v>
      </c>
      <c r="D191" t="str">
        <f>"6104"</f>
        <v>6104</v>
      </c>
      <c r="E191" t="str">
        <f>"6104"</f>
        <v>6104</v>
      </c>
      <c r="F191" t="str">
        <f>"P30640"</f>
        <v>P30640</v>
      </c>
      <c r="G191" t="str">
        <f>"8032928154307"</f>
        <v>8032928154307</v>
      </c>
      <c r="H191" t="str">
        <f t="shared" si="3"/>
        <v>Normal</v>
      </c>
      <c r="I191">
        <v>190</v>
      </c>
      <c r="J191" t="s">
        <v>358</v>
      </c>
      <c r="K191" t="s">
        <v>359</v>
      </c>
    </row>
    <row r="192" spans="1:11">
      <c r="A192" t="s">
        <v>245</v>
      </c>
      <c r="B192">
        <v>480</v>
      </c>
      <c r="C192" t="s">
        <v>128</v>
      </c>
      <c r="D192" t="str">
        <f>"6105"</f>
        <v>6105</v>
      </c>
      <c r="E192" t="str">
        <f>"6105"</f>
        <v>6105</v>
      </c>
      <c r="F192" t="str">
        <f>"P30641"</f>
        <v>P30641</v>
      </c>
      <c r="G192" t="str">
        <f>"8032928154314"</f>
        <v>8032928154314</v>
      </c>
      <c r="H192" t="str">
        <f t="shared" si="3"/>
        <v>Normal</v>
      </c>
      <c r="I192">
        <v>191</v>
      </c>
      <c r="J192" t="s">
        <v>360</v>
      </c>
      <c r="K192" t="s">
        <v>361</v>
      </c>
    </row>
    <row r="193" spans="1:11">
      <c r="A193" t="s">
        <v>245</v>
      </c>
      <c r="B193">
        <v>480</v>
      </c>
      <c r="C193" t="s">
        <v>128</v>
      </c>
      <c r="D193" t="str">
        <f>"6106"</f>
        <v>6106</v>
      </c>
      <c r="E193" t="str">
        <f>"6106"</f>
        <v>6106</v>
      </c>
      <c r="F193" t="str">
        <f>"P30642"</f>
        <v>P30642</v>
      </c>
      <c r="G193" t="str">
        <f>"8032928154321"</f>
        <v>8032928154321</v>
      </c>
      <c r="H193" t="str">
        <f t="shared" si="3"/>
        <v>Normal</v>
      </c>
      <c r="I193">
        <v>192</v>
      </c>
      <c r="J193" t="s">
        <v>362</v>
      </c>
      <c r="K193" t="s">
        <v>363</v>
      </c>
    </row>
    <row r="194" spans="1:11">
      <c r="A194" t="s">
        <v>245</v>
      </c>
      <c r="B194">
        <v>480</v>
      </c>
      <c r="C194" t="s">
        <v>128</v>
      </c>
      <c r="D194" t="str">
        <f>"6107"</f>
        <v>6107</v>
      </c>
      <c r="E194" t="str">
        <f>"6107"</f>
        <v>6107</v>
      </c>
      <c r="F194" t="str">
        <f>"P30643"</f>
        <v>P30643</v>
      </c>
      <c r="G194" t="str">
        <f>"8032928154338"</f>
        <v>8032928154338</v>
      </c>
      <c r="H194" t="str">
        <f t="shared" si="3"/>
        <v>Normal</v>
      </c>
      <c r="I194">
        <v>193</v>
      </c>
      <c r="J194" t="s">
        <v>364</v>
      </c>
      <c r="K194" t="s">
        <v>365</v>
      </c>
    </row>
    <row r="195" spans="1:11">
      <c r="A195" t="s">
        <v>245</v>
      </c>
      <c r="B195">
        <v>480</v>
      </c>
      <c r="C195" t="s">
        <v>128</v>
      </c>
      <c r="D195" t="str">
        <f>"6108"</f>
        <v>6108</v>
      </c>
      <c r="E195" t="str">
        <f>"6108"</f>
        <v>6108</v>
      </c>
      <c r="F195" t="str">
        <f>"P30644"</f>
        <v>P30644</v>
      </c>
      <c r="G195" t="str">
        <f>"8032928154369"</f>
        <v>8032928154369</v>
      </c>
      <c r="H195" t="str">
        <f t="shared" si="3"/>
        <v>Normal</v>
      </c>
      <c r="I195">
        <v>194</v>
      </c>
      <c r="J195" t="s">
        <v>366</v>
      </c>
      <c r="K195" t="s">
        <v>367</v>
      </c>
    </row>
    <row r="196" spans="1:11">
      <c r="A196" t="s">
        <v>245</v>
      </c>
      <c r="B196">
        <v>480</v>
      </c>
      <c r="C196" t="s">
        <v>128</v>
      </c>
      <c r="D196" t="str">
        <f>"6109"</f>
        <v>6109</v>
      </c>
      <c r="E196" t="str">
        <f>"6109"</f>
        <v>6109</v>
      </c>
      <c r="F196" t="str">
        <f>"P30645"</f>
        <v>P30645</v>
      </c>
      <c r="G196" t="str">
        <f>"8032928154376"</f>
        <v>8032928154376</v>
      </c>
      <c r="H196" t="str">
        <f t="shared" si="3"/>
        <v>Normal</v>
      </c>
      <c r="I196">
        <v>195</v>
      </c>
      <c r="J196" t="s">
        <v>368</v>
      </c>
      <c r="K196" t="s">
        <v>369</v>
      </c>
    </row>
    <row r="197" spans="1:11">
      <c r="A197" t="s">
        <v>245</v>
      </c>
      <c r="B197">
        <v>480</v>
      </c>
      <c r="C197" t="s">
        <v>128</v>
      </c>
      <c r="D197" t="str">
        <f>"6110"</f>
        <v>6110</v>
      </c>
      <c r="E197" t="str">
        <f>"6110"</f>
        <v>6110</v>
      </c>
      <c r="F197" t="str">
        <f>"P30646"</f>
        <v>P30646</v>
      </c>
      <c r="G197" t="str">
        <f>"8032928154437"</f>
        <v>8032928154437</v>
      </c>
      <c r="H197" t="str">
        <f t="shared" si="3"/>
        <v>Normal</v>
      </c>
      <c r="I197">
        <v>196</v>
      </c>
      <c r="J197" t="s">
        <v>370</v>
      </c>
      <c r="K197" t="s">
        <v>371</v>
      </c>
    </row>
    <row r="198" spans="1:11">
      <c r="A198" t="s">
        <v>245</v>
      </c>
      <c r="B198">
        <v>480</v>
      </c>
      <c r="C198" t="s">
        <v>128</v>
      </c>
      <c r="D198" t="str">
        <f>"6137"</f>
        <v>6137</v>
      </c>
      <c r="E198" t="str">
        <f>"6137"</f>
        <v>6137</v>
      </c>
      <c r="F198" t="str">
        <f>"P30672"</f>
        <v>P30672</v>
      </c>
      <c r="G198" t="str">
        <f>"8032928155083"</f>
        <v>8032928155083</v>
      </c>
      <c r="H198" t="str">
        <f t="shared" si="3"/>
        <v>Normal</v>
      </c>
      <c r="I198">
        <v>197</v>
      </c>
      <c r="J198" t="s">
        <v>372</v>
      </c>
      <c r="K198" t="s">
        <v>373</v>
      </c>
    </row>
    <row r="199" spans="1:11">
      <c r="A199" t="s">
        <v>245</v>
      </c>
      <c r="B199">
        <v>480</v>
      </c>
      <c r="C199" t="s">
        <v>128</v>
      </c>
      <c r="D199" t="str">
        <f>"6138"</f>
        <v>6138</v>
      </c>
      <c r="E199" t="str">
        <f>"6138"</f>
        <v>6138</v>
      </c>
      <c r="F199" t="str">
        <f>"P30664"</f>
        <v>P30664</v>
      </c>
      <c r="G199" t="str">
        <f>"8032928154987"</f>
        <v>8032928154987</v>
      </c>
      <c r="H199" t="str">
        <f t="shared" si="3"/>
        <v>Normal</v>
      </c>
      <c r="I199">
        <v>198</v>
      </c>
      <c r="J199" t="s">
        <v>374</v>
      </c>
      <c r="K199" t="s">
        <v>375</v>
      </c>
    </row>
    <row r="200" spans="1:11">
      <c r="A200" t="s">
        <v>245</v>
      </c>
      <c r="B200">
        <v>480</v>
      </c>
      <c r="C200" t="s">
        <v>128</v>
      </c>
      <c r="D200" t="str">
        <f>"6139"</f>
        <v>6139</v>
      </c>
      <c r="E200" t="str">
        <f>"6139"</f>
        <v>6139</v>
      </c>
      <c r="F200" t="str">
        <f>"P30658"</f>
        <v>P30658</v>
      </c>
      <c r="G200" t="str">
        <f>"8032928154925"</f>
        <v>8032928154925</v>
      </c>
      <c r="H200" t="str">
        <f t="shared" si="3"/>
        <v>Normal</v>
      </c>
      <c r="I200">
        <v>199</v>
      </c>
      <c r="J200" t="s">
        <v>376</v>
      </c>
      <c r="K200" t="s">
        <v>377</v>
      </c>
    </row>
    <row r="201" spans="1:11">
      <c r="A201" t="s">
        <v>245</v>
      </c>
      <c r="B201">
        <v>480</v>
      </c>
      <c r="C201" t="s">
        <v>128</v>
      </c>
      <c r="D201" t="str">
        <f>"6140"</f>
        <v>6140</v>
      </c>
      <c r="E201" t="str">
        <f>"6140"</f>
        <v>6140</v>
      </c>
      <c r="F201" t="str">
        <f>"P30661"</f>
        <v>P30661</v>
      </c>
      <c r="G201" t="str">
        <f>"8032928154956"</f>
        <v>8032928154956</v>
      </c>
      <c r="H201" t="str">
        <f t="shared" si="3"/>
        <v>Normal</v>
      </c>
      <c r="I201">
        <v>200</v>
      </c>
      <c r="J201" t="s">
        <v>378</v>
      </c>
      <c r="K201" t="s">
        <v>379</v>
      </c>
    </row>
    <row r="202" spans="1:11">
      <c r="A202" t="s">
        <v>245</v>
      </c>
      <c r="B202">
        <v>480</v>
      </c>
      <c r="C202" t="s">
        <v>128</v>
      </c>
      <c r="D202" t="str">
        <f>"6141"</f>
        <v>6141</v>
      </c>
      <c r="E202" t="str">
        <f>"6141"</f>
        <v>6141</v>
      </c>
      <c r="F202" t="str">
        <f>"P30653"</f>
        <v>P30653</v>
      </c>
      <c r="G202" t="str">
        <f>"8032928154871"</f>
        <v>8032928154871</v>
      </c>
      <c r="H202" t="str">
        <f t="shared" si="3"/>
        <v>Normal</v>
      </c>
      <c r="I202">
        <v>201</v>
      </c>
      <c r="J202" t="s">
        <v>380</v>
      </c>
      <c r="K202" t="s">
        <v>381</v>
      </c>
    </row>
    <row r="203" spans="1:11">
      <c r="A203" t="s">
        <v>245</v>
      </c>
      <c r="B203">
        <v>480</v>
      </c>
      <c r="C203" t="s">
        <v>128</v>
      </c>
      <c r="D203" t="str">
        <f>"6142"</f>
        <v>6142</v>
      </c>
      <c r="E203" t="str">
        <f>"6142"</f>
        <v>6142</v>
      </c>
      <c r="F203" t="str">
        <f>"P30659"</f>
        <v>P30659</v>
      </c>
      <c r="G203" t="str">
        <f>"8032928154932"</f>
        <v>8032928154932</v>
      </c>
      <c r="H203" t="str">
        <f t="shared" si="3"/>
        <v>Normal</v>
      </c>
      <c r="I203">
        <v>202</v>
      </c>
      <c r="J203" t="s">
        <v>382</v>
      </c>
      <c r="K203" t="s">
        <v>383</v>
      </c>
    </row>
    <row r="204" spans="1:11">
      <c r="A204" t="s">
        <v>245</v>
      </c>
      <c r="B204">
        <v>480</v>
      </c>
      <c r="C204" t="s">
        <v>128</v>
      </c>
      <c r="D204" t="str">
        <f>"6143"</f>
        <v>6143</v>
      </c>
      <c r="E204" t="str">
        <f>"6143"</f>
        <v>6143</v>
      </c>
      <c r="F204" t="str">
        <f>"P30663"</f>
        <v>P30663</v>
      </c>
      <c r="G204" t="str">
        <f>"8032928154970"</f>
        <v>8032928154970</v>
      </c>
      <c r="H204" t="str">
        <f t="shared" si="3"/>
        <v>Normal</v>
      </c>
      <c r="I204">
        <v>203</v>
      </c>
      <c r="J204" t="s">
        <v>384</v>
      </c>
      <c r="K204" t="s">
        <v>385</v>
      </c>
    </row>
    <row r="205" spans="1:11">
      <c r="A205" t="s">
        <v>245</v>
      </c>
      <c r="B205">
        <v>480</v>
      </c>
      <c r="C205" t="s">
        <v>128</v>
      </c>
      <c r="D205" t="str">
        <f>"6144"</f>
        <v>6144</v>
      </c>
      <c r="E205" t="str">
        <f>"6144"</f>
        <v>6144</v>
      </c>
      <c r="F205" t="str">
        <f>"P30669"</f>
        <v>P30669</v>
      </c>
      <c r="G205" t="str">
        <f>"8032928155038"</f>
        <v>8032928155038</v>
      </c>
      <c r="H205" t="str">
        <f t="shared" si="3"/>
        <v>Normal</v>
      </c>
      <c r="I205">
        <v>204</v>
      </c>
      <c r="J205" t="s">
        <v>386</v>
      </c>
      <c r="K205" t="s">
        <v>387</v>
      </c>
    </row>
    <row r="206" spans="1:11">
      <c r="A206" t="s">
        <v>245</v>
      </c>
      <c r="B206">
        <v>480</v>
      </c>
      <c r="C206" t="s">
        <v>128</v>
      </c>
      <c r="D206" t="str">
        <f>"1710"</f>
        <v>1710</v>
      </c>
      <c r="E206" t="str">
        <f>"1710"</f>
        <v>1710</v>
      </c>
      <c r="F206" t="str">
        <f>"P99011"</f>
        <v>P99011</v>
      </c>
      <c r="G206" t="str">
        <f>"8032532084892"</f>
        <v>8032532084892</v>
      </c>
      <c r="H206" t="str">
        <f t="shared" si="3"/>
        <v>Normal</v>
      </c>
      <c r="I206">
        <v>205</v>
      </c>
      <c r="J206" t="s">
        <v>388</v>
      </c>
      <c r="K206" t="s">
        <v>389</v>
      </c>
    </row>
    <row r="207" spans="1:11">
      <c r="A207" t="s">
        <v>245</v>
      </c>
      <c r="B207">
        <v>480</v>
      </c>
      <c r="C207" t="s">
        <v>128</v>
      </c>
      <c r="D207" t="str">
        <f>"1762"</f>
        <v>1762</v>
      </c>
      <c r="E207" t="str">
        <f>"1762"</f>
        <v>1762</v>
      </c>
      <c r="F207" t="str">
        <f>"P30472"</f>
        <v>P30472</v>
      </c>
      <c r="G207" t="str">
        <f>"8032928103282"</f>
        <v>8032928103282</v>
      </c>
      <c r="H207" t="str">
        <f t="shared" si="3"/>
        <v>Normal</v>
      </c>
      <c r="I207">
        <v>206</v>
      </c>
      <c r="J207" t="s">
        <v>390</v>
      </c>
      <c r="K207" t="s">
        <v>391</v>
      </c>
    </row>
    <row r="208" spans="1:11">
      <c r="A208" t="s">
        <v>245</v>
      </c>
      <c r="B208">
        <v>480</v>
      </c>
      <c r="C208" t="s">
        <v>128</v>
      </c>
      <c r="D208" t="str">
        <f>"1763"</f>
        <v>1763</v>
      </c>
      <c r="E208" t="str">
        <f>"1763"</f>
        <v>1763</v>
      </c>
      <c r="F208" t="str">
        <f>"P30473"</f>
        <v>P30473</v>
      </c>
      <c r="G208" t="str">
        <f>"8032928103299"</f>
        <v>8032928103299</v>
      </c>
      <c r="H208" t="str">
        <f t="shared" si="3"/>
        <v>Normal</v>
      </c>
      <c r="I208">
        <v>207</v>
      </c>
      <c r="J208" t="s">
        <v>392</v>
      </c>
      <c r="K208" s="1" t="s">
        <v>393</v>
      </c>
    </row>
    <row r="209" spans="1:11">
      <c r="A209" t="s">
        <v>245</v>
      </c>
      <c r="B209">
        <v>480</v>
      </c>
      <c r="C209" t="s">
        <v>128</v>
      </c>
      <c r="D209" t="str">
        <f>"1765"</f>
        <v>1765</v>
      </c>
      <c r="E209" t="str">
        <f>"1765"</f>
        <v>1765</v>
      </c>
      <c r="F209" t="str">
        <f>"P30475"</f>
        <v>P30475</v>
      </c>
      <c r="G209" t="str">
        <f>"8032928103961"</f>
        <v>8032928103961</v>
      </c>
      <c r="H209" t="str">
        <f t="shared" si="3"/>
        <v>Normal</v>
      </c>
      <c r="I209">
        <v>208</v>
      </c>
      <c r="J209" t="s">
        <v>394</v>
      </c>
      <c r="K209" t="s">
        <v>395</v>
      </c>
    </row>
    <row r="210" spans="1:11">
      <c r="A210" t="s">
        <v>245</v>
      </c>
      <c r="B210">
        <v>480</v>
      </c>
      <c r="C210" t="s">
        <v>128</v>
      </c>
      <c r="D210" t="str">
        <f>"1766"</f>
        <v>1766</v>
      </c>
      <c r="E210" t="str">
        <f>"1766"</f>
        <v>1766</v>
      </c>
      <c r="F210" t="str">
        <f>"P30476"</f>
        <v>P30476</v>
      </c>
      <c r="G210" t="str">
        <f>"8032928105231"</f>
        <v>8032928105231</v>
      </c>
      <c r="H210" t="str">
        <f t="shared" si="3"/>
        <v>Normal</v>
      </c>
      <c r="I210">
        <v>209</v>
      </c>
      <c r="J210" t="s">
        <v>396</v>
      </c>
      <c r="K210" t="s">
        <v>397</v>
      </c>
    </row>
    <row r="211" spans="1:11">
      <c r="A211" t="s">
        <v>245</v>
      </c>
      <c r="B211">
        <v>480</v>
      </c>
      <c r="C211" t="s">
        <v>128</v>
      </c>
      <c r="D211" t="str">
        <f>"1767"</f>
        <v>1767</v>
      </c>
      <c r="E211" t="str">
        <f>"1767"</f>
        <v>1767</v>
      </c>
      <c r="F211" t="str">
        <f>"P30477"</f>
        <v>P30477</v>
      </c>
      <c r="G211" t="str">
        <f>"8032928105538"</f>
        <v>8032928105538</v>
      </c>
      <c r="H211" t="str">
        <f t="shared" si="3"/>
        <v>Normal</v>
      </c>
      <c r="I211">
        <v>210</v>
      </c>
      <c r="J211" t="s">
        <v>398</v>
      </c>
      <c r="K211" s="1" t="s">
        <v>399</v>
      </c>
    </row>
    <row r="212" spans="1:11">
      <c r="A212" t="s">
        <v>245</v>
      </c>
      <c r="B212">
        <v>480</v>
      </c>
      <c r="C212" t="s">
        <v>128</v>
      </c>
      <c r="D212" t="str">
        <f>"1771"</f>
        <v>1771</v>
      </c>
      <c r="E212" t="str">
        <f>"1771"</f>
        <v>1771</v>
      </c>
      <c r="F212" t="str">
        <f>"P30481"</f>
        <v>P30481</v>
      </c>
      <c r="G212" t="str">
        <f>"8032928106214"</f>
        <v>8032928106214</v>
      </c>
      <c r="H212" t="str">
        <f t="shared" si="3"/>
        <v>Normal</v>
      </c>
      <c r="I212">
        <v>211</v>
      </c>
      <c r="J212" t="s">
        <v>400</v>
      </c>
      <c r="K212" t="s">
        <v>401</v>
      </c>
    </row>
    <row r="213" spans="1:11">
      <c r="A213" t="s">
        <v>245</v>
      </c>
      <c r="B213">
        <v>480</v>
      </c>
      <c r="C213" t="s">
        <v>128</v>
      </c>
      <c r="D213" t="str">
        <f>"1776"</f>
        <v>1776</v>
      </c>
      <c r="E213" t="str">
        <f>"1776"</f>
        <v>1776</v>
      </c>
      <c r="F213" t="str">
        <f>"P30486"</f>
        <v>P30486</v>
      </c>
      <c r="G213" t="str">
        <f>"8032928107211"</f>
        <v>8032928107211</v>
      </c>
      <c r="H213" t="str">
        <f t="shared" si="3"/>
        <v>Normal</v>
      </c>
      <c r="I213">
        <v>212</v>
      </c>
      <c r="J213" t="s">
        <v>402</v>
      </c>
      <c r="K213" t="s">
        <v>403</v>
      </c>
    </row>
    <row r="214" spans="1:11">
      <c r="A214" t="s">
        <v>245</v>
      </c>
      <c r="B214">
        <v>480</v>
      </c>
      <c r="C214" t="s">
        <v>128</v>
      </c>
      <c r="D214" t="str">
        <f>"1778"</f>
        <v>1778</v>
      </c>
      <c r="E214" t="str">
        <f>"1778"</f>
        <v>1778</v>
      </c>
      <c r="F214" t="str">
        <f>"P30488"</f>
        <v>P30488</v>
      </c>
      <c r="G214" t="str">
        <f>"8032928107235"</f>
        <v>8032928107235</v>
      </c>
      <c r="H214" t="str">
        <f t="shared" si="3"/>
        <v>Normal</v>
      </c>
      <c r="I214">
        <v>213</v>
      </c>
      <c r="J214" t="s">
        <v>404</v>
      </c>
      <c r="K214" t="s">
        <v>405</v>
      </c>
    </row>
    <row r="215" spans="1:11">
      <c r="A215" t="s">
        <v>258</v>
      </c>
      <c r="B215">
        <v>480</v>
      </c>
      <c r="C215" t="s">
        <v>128</v>
      </c>
      <c r="D215" t="str">
        <f>"2156"</f>
        <v>2156</v>
      </c>
      <c r="E215" t="str">
        <f>"2156"</f>
        <v>2156</v>
      </c>
      <c r="F215" t="str">
        <f>"F30061"</f>
        <v>F30061</v>
      </c>
      <c r="G215" t="str">
        <f>"8032928002899"</f>
        <v>8032928002899</v>
      </c>
      <c r="H215" t="str">
        <f t="shared" si="3"/>
        <v>Normal</v>
      </c>
      <c r="I215">
        <v>214</v>
      </c>
      <c r="J215" t="s">
        <v>406</v>
      </c>
      <c r="K215" t="s">
        <v>407</v>
      </c>
    </row>
    <row r="216" spans="1:11">
      <c r="A216" t="s">
        <v>258</v>
      </c>
      <c r="B216">
        <v>480</v>
      </c>
      <c r="C216" t="s">
        <v>128</v>
      </c>
      <c r="D216" t="str">
        <f>"2159"</f>
        <v>2159</v>
      </c>
      <c r="E216" t="str">
        <f>"2159"</f>
        <v>2159</v>
      </c>
      <c r="F216" t="str">
        <f>"F30064"</f>
        <v>F30064</v>
      </c>
      <c r="G216" t="str">
        <f>"8032928036740"</f>
        <v>8032928036740</v>
      </c>
      <c r="H216" t="str">
        <f t="shared" si="3"/>
        <v>Normal</v>
      </c>
      <c r="I216">
        <v>215</v>
      </c>
      <c r="J216" t="s">
        <v>408</v>
      </c>
      <c r="K216" t="s">
        <v>409</v>
      </c>
    </row>
    <row r="217" spans="1:11">
      <c r="A217" t="s">
        <v>410</v>
      </c>
      <c r="B217">
        <v>480</v>
      </c>
      <c r="C217" t="s">
        <v>128</v>
      </c>
      <c r="D217" t="str">
        <f>"6T47331"</f>
        <v>6T47331</v>
      </c>
      <c r="E217" t="str">
        <f>"6T47331"</f>
        <v>6T47331</v>
      </c>
      <c r="F217" t="str">
        <f>"6T47331"</f>
        <v>6T47331</v>
      </c>
      <c r="G217" t="str">
        <f>"8032532094600"</f>
        <v>8032532094600</v>
      </c>
      <c r="H217" t="str">
        <f t="shared" si="3"/>
        <v>Normal</v>
      </c>
      <c r="I217">
        <v>216</v>
      </c>
      <c r="J217" t="s">
        <v>411</v>
      </c>
      <c r="K217" t="s">
        <v>412</v>
      </c>
    </row>
    <row r="218" spans="1:11">
      <c r="A218" t="s">
        <v>245</v>
      </c>
      <c r="B218">
        <v>480</v>
      </c>
      <c r="C218" t="s">
        <v>128</v>
      </c>
      <c r="D218" t="str">
        <f>"6145"</f>
        <v>6145</v>
      </c>
      <c r="E218" t="str">
        <f>"6145"</f>
        <v>6145</v>
      </c>
      <c r="F218" t="str">
        <f>"P30666"</f>
        <v>P30666</v>
      </c>
      <c r="G218" t="str">
        <f>"8032928155007"</f>
        <v>8032928155007</v>
      </c>
      <c r="H218" t="str">
        <f t="shared" si="3"/>
        <v>Normal</v>
      </c>
      <c r="I218">
        <v>217</v>
      </c>
      <c r="J218" t="s">
        <v>413</v>
      </c>
      <c r="K218" t="s">
        <v>414</v>
      </c>
    </row>
    <row r="219" spans="1:11">
      <c r="A219" t="s">
        <v>245</v>
      </c>
      <c r="B219">
        <v>480</v>
      </c>
      <c r="C219" t="s">
        <v>128</v>
      </c>
      <c r="D219" t="str">
        <f>"6146"</f>
        <v>6146</v>
      </c>
      <c r="E219" t="str">
        <f>"6146"</f>
        <v>6146</v>
      </c>
      <c r="F219" t="str">
        <f>"P30655"</f>
        <v>P30655</v>
      </c>
      <c r="G219" t="str">
        <f>"8032928154895"</f>
        <v>8032928154895</v>
      </c>
      <c r="H219" t="str">
        <f t="shared" si="3"/>
        <v>Normal</v>
      </c>
      <c r="I219">
        <v>218</v>
      </c>
      <c r="J219" t="s">
        <v>415</v>
      </c>
      <c r="K219" t="s">
        <v>416</v>
      </c>
    </row>
    <row r="220" spans="1:11">
      <c r="A220" t="s">
        <v>245</v>
      </c>
      <c r="B220">
        <v>480</v>
      </c>
      <c r="C220" t="s">
        <v>128</v>
      </c>
      <c r="D220" t="str">
        <f>"6147"</f>
        <v>6147</v>
      </c>
      <c r="E220" t="str">
        <f>"6147"</f>
        <v>6147</v>
      </c>
      <c r="F220" t="str">
        <f>"P30671"</f>
        <v>P30671</v>
      </c>
      <c r="G220" t="str">
        <f>"8032928155076"</f>
        <v>8032928155076</v>
      </c>
      <c r="H220" t="str">
        <f t="shared" si="3"/>
        <v>Normal</v>
      </c>
      <c r="I220">
        <v>219</v>
      </c>
      <c r="J220" t="s">
        <v>417</v>
      </c>
      <c r="K220" t="s">
        <v>418</v>
      </c>
    </row>
    <row r="221" spans="1:11">
      <c r="A221" t="s">
        <v>245</v>
      </c>
      <c r="B221">
        <v>480</v>
      </c>
      <c r="C221" t="s">
        <v>128</v>
      </c>
      <c r="D221" t="str">
        <f>"6148"</f>
        <v>6148</v>
      </c>
      <c r="E221" t="str">
        <f>"6148"</f>
        <v>6148</v>
      </c>
      <c r="F221" t="str">
        <f>"P30668"</f>
        <v>P30668</v>
      </c>
      <c r="G221" t="str">
        <f>"8032928155021"</f>
        <v>8032928155021</v>
      </c>
      <c r="H221" t="str">
        <f t="shared" si="3"/>
        <v>Normal</v>
      </c>
      <c r="I221">
        <v>220</v>
      </c>
      <c r="J221" t="s">
        <v>419</v>
      </c>
      <c r="K221" t="s">
        <v>420</v>
      </c>
    </row>
    <row r="222" spans="1:11">
      <c r="A222" t="s">
        <v>245</v>
      </c>
      <c r="B222">
        <v>480</v>
      </c>
      <c r="C222" t="s">
        <v>128</v>
      </c>
      <c r="D222" t="str">
        <f>"6149"</f>
        <v>6149</v>
      </c>
      <c r="E222" t="str">
        <f>"6149"</f>
        <v>6149</v>
      </c>
      <c r="F222" t="str">
        <f>"P30667"</f>
        <v>P30667</v>
      </c>
      <c r="G222" t="str">
        <f>"8032928155014"</f>
        <v>8032928155014</v>
      </c>
      <c r="H222" t="str">
        <f t="shared" si="3"/>
        <v>Normal</v>
      </c>
      <c r="I222">
        <v>221</v>
      </c>
      <c r="J222" t="s">
        <v>421</v>
      </c>
      <c r="K222" t="s">
        <v>422</v>
      </c>
    </row>
    <row r="223" spans="1:11">
      <c r="A223" t="s">
        <v>245</v>
      </c>
      <c r="B223">
        <v>480</v>
      </c>
      <c r="C223" t="s">
        <v>128</v>
      </c>
      <c r="D223" t="str">
        <f>"6150"</f>
        <v>6150</v>
      </c>
      <c r="E223" t="str">
        <f>"6150"</f>
        <v>6150</v>
      </c>
      <c r="F223" t="str">
        <f>"P30650"</f>
        <v>P30650</v>
      </c>
      <c r="G223" t="str">
        <f>"8032928154840"</f>
        <v>8032928154840</v>
      </c>
      <c r="H223" t="str">
        <f t="shared" si="3"/>
        <v>Normal</v>
      </c>
      <c r="I223">
        <v>222</v>
      </c>
      <c r="J223" t="s">
        <v>423</v>
      </c>
      <c r="K223" t="s">
        <v>424</v>
      </c>
    </row>
    <row r="224" spans="1:11">
      <c r="A224" t="s">
        <v>245</v>
      </c>
      <c r="B224">
        <v>480</v>
      </c>
      <c r="C224" t="s">
        <v>128</v>
      </c>
      <c r="D224" t="str">
        <f>"6151"</f>
        <v>6151</v>
      </c>
      <c r="E224" t="str">
        <f>"6151"</f>
        <v>6151</v>
      </c>
      <c r="F224" t="str">
        <f>"P30662"</f>
        <v>P30662</v>
      </c>
      <c r="G224" t="str">
        <f>"8032928154963"</f>
        <v>8032928154963</v>
      </c>
      <c r="H224" t="str">
        <f t="shared" ref="H224:H287" si="4">"Normal"</f>
        <v>Normal</v>
      </c>
      <c r="I224">
        <v>223</v>
      </c>
      <c r="J224" t="s">
        <v>425</v>
      </c>
      <c r="K224" t="s">
        <v>426</v>
      </c>
    </row>
    <row r="225" spans="1:11">
      <c r="A225" t="s">
        <v>245</v>
      </c>
      <c r="B225">
        <v>480</v>
      </c>
      <c r="C225" t="s">
        <v>128</v>
      </c>
      <c r="D225" t="str">
        <f>"6152"</f>
        <v>6152</v>
      </c>
      <c r="E225" t="str">
        <f>"6152"</f>
        <v>6152</v>
      </c>
      <c r="F225" t="str">
        <f>"P30670"</f>
        <v>P30670</v>
      </c>
      <c r="G225" t="str">
        <f>"8032928155069"</f>
        <v>8032928155069</v>
      </c>
      <c r="H225" t="str">
        <f t="shared" si="4"/>
        <v>Normal</v>
      </c>
      <c r="I225">
        <v>224</v>
      </c>
      <c r="J225" t="s">
        <v>427</v>
      </c>
      <c r="K225" t="s">
        <v>428</v>
      </c>
    </row>
    <row r="226" spans="1:11">
      <c r="A226" t="s">
        <v>245</v>
      </c>
      <c r="B226">
        <v>480</v>
      </c>
      <c r="C226" t="s">
        <v>128</v>
      </c>
      <c r="D226" t="str">
        <f>"6153"</f>
        <v>6153</v>
      </c>
      <c r="E226" t="str">
        <f>"6153"</f>
        <v>6153</v>
      </c>
      <c r="F226" t="str">
        <f>"P30649"</f>
        <v>P30649</v>
      </c>
      <c r="G226" t="str">
        <f>"8032928154833"</f>
        <v>8032928154833</v>
      </c>
      <c r="H226" t="str">
        <f t="shared" si="4"/>
        <v>Normal</v>
      </c>
      <c r="I226">
        <v>225</v>
      </c>
      <c r="J226" t="s">
        <v>429</v>
      </c>
      <c r="K226" t="s">
        <v>430</v>
      </c>
    </row>
    <row r="227" spans="1:11">
      <c r="A227" t="s">
        <v>245</v>
      </c>
      <c r="B227">
        <v>480</v>
      </c>
      <c r="C227" t="s">
        <v>128</v>
      </c>
      <c r="D227" t="str">
        <f>"6154"</f>
        <v>6154</v>
      </c>
      <c r="E227" t="str">
        <f>"6154"</f>
        <v>6154</v>
      </c>
      <c r="F227" t="str">
        <f>"P30665"</f>
        <v>P30665</v>
      </c>
      <c r="G227" t="str">
        <f>"8032928154994"</f>
        <v>8032928154994</v>
      </c>
      <c r="H227" t="str">
        <f t="shared" si="4"/>
        <v>Normal</v>
      </c>
      <c r="I227">
        <v>226</v>
      </c>
      <c r="J227" t="s">
        <v>431</v>
      </c>
      <c r="K227" t="s">
        <v>432</v>
      </c>
    </row>
    <row r="228" spans="1:11">
      <c r="A228" t="s">
        <v>245</v>
      </c>
      <c r="B228">
        <v>480</v>
      </c>
      <c r="C228" t="s">
        <v>128</v>
      </c>
      <c r="D228" t="str">
        <f>"6155"</f>
        <v>6155</v>
      </c>
      <c r="E228" t="str">
        <f>"6155"</f>
        <v>6155</v>
      </c>
      <c r="F228" t="str">
        <f>"P30651"</f>
        <v>P30651</v>
      </c>
      <c r="G228" t="str">
        <f>"8032928154857"</f>
        <v>8032928154857</v>
      </c>
      <c r="H228" t="str">
        <f t="shared" si="4"/>
        <v>Normal</v>
      </c>
      <c r="I228">
        <v>227</v>
      </c>
      <c r="J228" t="s">
        <v>433</v>
      </c>
      <c r="K228" t="s">
        <v>434</v>
      </c>
    </row>
    <row r="229" spans="1:11">
      <c r="A229" t="s">
        <v>245</v>
      </c>
      <c r="B229">
        <v>480</v>
      </c>
      <c r="C229" t="s">
        <v>128</v>
      </c>
      <c r="D229" t="str">
        <f>"6156"</f>
        <v>6156</v>
      </c>
      <c r="E229" t="str">
        <f>"6156"</f>
        <v>6156</v>
      </c>
      <c r="F229" t="str">
        <f>"P30660"</f>
        <v>P30660</v>
      </c>
      <c r="G229" t="str">
        <f>"8032928154949"</f>
        <v>8032928154949</v>
      </c>
      <c r="H229" t="str">
        <f t="shared" si="4"/>
        <v>Normal</v>
      </c>
      <c r="I229">
        <v>228</v>
      </c>
      <c r="J229" t="s">
        <v>435</v>
      </c>
      <c r="K229" t="s">
        <v>436</v>
      </c>
    </row>
    <row r="230" spans="1:11">
      <c r="A230" t="s">
        <v>245</v>
      </c>
      <c r="B230">
        <v>480</v>
      </c>
      <c r="C230" t="s">
        <v>128</v>
      </c>
      <c r="D230" t="str">
        <f>"6157"</f>
        <v>6157</v>
      </c>
      <c r="E230" t="str">
        <f>"6157"</f>
        <v>6157</v>
      </c>
      <c r="F230" t="str">
        <f>"P30652"</f>
        <v>P30652</v>
      </c>
      <c r="G230" t="str">
        <f>"8032928154864"</f>
        <v>8032928154864</v>
      </c>
      <c r="H230" t="str">
        <f t="shared" si="4"/>
        <v>Normal</v>
      </c>
      <c r="I230">
        <v>229</v>
      </c>
      <c r="J230" t="s">
        <v>437</v>
      </c>
      <c r="K230" t="s">
        <v>438</v>
      </c>
    </row>
    <row r="231" spans="1:11">
      <c r="A231" t="s">
        <v>245</v>
      </c>
      <c r="B231">
        <v>480</v>
      </c>
      <c r="C231" t="s">
        <v>128</v>
      </c>
      <c r="D231" t="str">
        <f>"6158"</f>
        <v>6158</v>
      </c>
      <c r="E231" t="str">
        <f>"6158"</f>
        <v>6158</v>
      </c>
      <c r="F231" t="str">
        <f>"P30656"</f>
        <v>P30656</v>
      </c>
      <c r="G231" t="str">
        <f>"8032928154901"</f>
        <v>8032928154901</v>
      </c>
      <c r="H231" t="str">
        <f t="shared" si="4"/>
        <v>Normal</v>
      </c>
      <c r="I231">
        <v>230</v>
      </c>
      <c r="J231" t="s">
        <v>439</v>
      </c>
      <c r="K231" t="s">
        <v>440</v>
      </c>
    </row>
    <row r="232" spans="1:11">
      <c r="A232" t="s">
        <v>245</v>
      </c>
      <c r="B232">
        <v>480</v>
      </c>
      <c r="C232" t="s">
        <v>128</v>
      </c>
      <c r="D232" t="str">
        <f>"6159"</f>
        <v>6159</v>
      </c>
      <c r="E232" t="str">
        <f>"6159"</f>
        <v>6159</v>
      </c>
      <c r="F232" t="str">
        <f>"P30654"</f>
        <v>P30654</v>
      </c>
      <c r="G232" t="str">
        <f>"8032928154888"</f>
        <v>8032928154888</v>
      </c>
      <c r="H232" t="str">
        <f t="shared" si="4"/>
        <v>Normal</v>
      </c>
      <c r="I232">
        <v>231</v>
      </c>
      <c r="J232" t="s">
        <v>441</v>
      </c>
      <c r="K232" s="1" t="s">
        <v>442</v>
      </c>
    </row>
    <row r="233" spans="1:11">
      <c r="A233" t="s">
        <v>245</v>
      </c>
      <c r="B233">
        <v>480</v>
      </c>
      <c r="C233" t="s">
        <v>128</v>
      </c>
      <c r="D233" t="str">
        <f>"6161"</f>
        <v>6161</v>
      </c>
      <c r="E233" t="str">
        <f>"6161"</f>
        <v>6161</v>
      </c>
      <c r="F233" t="str">
        <f>"P30697"</f>
        <v>P30697</v>
      </c>
      <c r="G233" t="str">
        <f>"8032928155175"</f>
        <v>8032928155175</v>
      </c>
      <c r="H233" t="str">
        <f t="shared" si="4"/>
        <v>Normal</v>
      </c>
      <c r="I233">
        <v>232</v>
      </c>
      <c r="J233" t="s">
        <v>443</v>
      </c>
      <c r="K233" t="s">
        <v>444</v>
      </c>
    </row>
    <row r="234" spans="1:11">
      <c r="A234" t="s">
        <v>245</v>
      </c>
      <c r="B234">
        <v>480</v>
      </c>
      <c r="C234" t="s">
        <v>128</v>
      </c>
      <c r="D234" t="str">
        <f>"6162"</f>
        <v>6162</v>
      </c>
      <c r="E234" t="str">
        <f>"6162"</f>
        <v>6162</v>
      </c>
      <c r="F234" t="str">
        <f>"P30698"</f>
        <v>P30698</v>
      </c>
      <c r="G234" t="str">
        <f>"8032928155182"</f>
        <v>8032928155182</v>
      </c>
      <c r="H234" t="str">
        <f t="shared" si="4"/>
        <v>Normal</v>
      </c>
      <c r="I234">
        <v>233</v>
      </c>
      <c r="J234" t="s">
        <v>445</v>
      </c>
      <c r="K234" t="s">
        <v>446</v>
      </c>
    </row>
    <row r="235" spans="1:11">
      <c r="A235" t="s">
        <v>245</v>
      </c>
      <c r="B235">
        <v>480</v>
      </c>
      <c r="C235" t="s">
        <v>128</v>
      </c>
      <c r="D235" t="str">
        <f>"6163"</f>
        <v>6163</v>
      </c>
      <c r="E235" t="str">
        <f>"6163"</f>
        <v>6163</v>
      </c>
      <c r="F235" t="str">
        <f>"P30699"</f>
        <v>P30699</v>
      </c>
      <c r="G235" t="str">
        <f>"8032928155199"</f>
        <v>8032928155199</v>
      </c>
      <c r="H235" t="str">
        <f t="shared" si="4"/>
        <v>Normal</v>
      </c>
      <c r="I235">
        <v>234</v>
      </c>
      <c r="J235" t="s">
        <v>447</v>
      </c>
      <c r="K235" t="s">
        <v>448</v>
      </c>
    </row>
    <row r="236" spans="1:11">
      <c r="A236" t="s">
        <v>245</v>
      </c>
      <c r="B236">
        <v>480</v>
      </c>
      <c r="C236" t="s">
        <v>128</v>
      </c>
      <c r="D236" t="str">
        <f>"6164"</f>
        <v>6164</v>
      </c>
      <c r="E236" t="str">
        <f>"6164"</f>
        <v>6164</v>
      </c>
      <c r="F236" t="str">
        <f>"P30700"</f>
        <v>P30700</v>
      </c>
      <c r="G236" t="str">
        <f>"8032928155205"</f>
        <v>8032928155205</v>
      </c>
      <c r="H236" t="str">
        <f t="shared" si="4"/>
        <v>Normal</v>
      </c>
      <c r="I236">
        <v>235</v>
      </c>
      <c r="J236" t="s">
        <v>449</v>
      </c>
      <c r="K236" t="s">
        <v>450</v>
      </c>
    </row>
    <row r="237" spans="1:11">
      <c r="A237" t="s">
        <v>245</v>
      </c>
      <c r="B237">
        <v>480</v>
      </c>
      <c r="C237" t="s">
        <v>128</v>
      </c>
      <c r="D237" t="str">
        <f>"6165"</f>
        <v>6165</v>
      </c>
      <c r="E237" t="str">
        <f>"6165"</f>
        <v>6165</v>
      </c>
      <c r="F237" t="str">
        <f>"P30701"</f>
        <v>P30701</v>
      </c>
      <c r="G237" t="str">
        <f>"8032928155212"</f>
        <v>8032928155212</v>
      </c>
      <c r="H237" t="str">
        <f t="shared" si="4"/>
        <v>Normal</v>
      </c>
      <c r="I237">
        <v>236</v>
      </c>
      <c r="J237" t="s">
        <v>451</v>
      </c>
      <c r="K237" t="s">
        <v>452</v>
      </c>
    </row>
    <row r="238" spans="1:11">
      <c r="A238" t="s">
        <v>245</v>
      </c>
      <c r="B238">
        <v>480</v>
      </c>
      <c r="C238" t="s">
        <v>128</v>
      </c>
      <c r="D238" t="str">
        <f>"6166"</f>
        <v>6166</v>
      </c>
      <c r="E238" t="str">
        <f>"6166"</f>
        <v>6166</v>
      </c>
      <c r="F238" t="str">
        <f>"P30702"</f>
        <v>P30702</v>
      </c>
      <c r="G238" t="str">
        <f>"8032928155229"</f>
        <v>8032928155229</v>
      </c>
      <c r="H238" t="str">
        <f t="shared" si="4"/>
        <v>Normal</v>
      </c>
      <c r="I238">
        <v>237</v>
      </c>
      <c r="J238" t="s">
        <v>453</v>
      </c>
      <c r="K238" t="s">
        <v>454</v>
      </c>
    </row>
    <row r="239" spans="1:11">
      <c r="A239" t="s">
        <v>245</v>
      </c>
      <c r="B239">
        <v>480</v>
      </c>
      <c r="C239" t="s">
        <v>128</v>
      </c>
      <c r="D239" t="str">
        <f>"6167"</f>
        <v>6167</v>
      </c>
      <c r="E239" t="str">
        <f>"6167"</f>
        <v>6167</v>
      </c>
      <c r="F239" t="str">
        <f>"P30703"</f>
        <v>P30703</v>
      </c>
      <c r="G239" t="str">
        <f>"8032928155236"</f>
        <v>8032928155236</v>
      </c>
      <c r="H239" t="str">
        <f t="shared" si="4"/>
        <v>Normal</v>
      </c>
      <c r="I239">
        <v>238</v>
      </c>
      <c r="J239" t="s">
        <v>455</v>
      </c>
      <c r="K239" t="s">
        <v>456</v>
      </c>
    </row>
    <row r="240" spans="1:11">
      <c r="A240" t="s">
        <v>245</v>
      </c>
      <c r="B240">
        <v>480</v>
      </c>
      <c r="C240" t="s">
        <v>128</v>
      </c>
      <c r="D240" t="str">
        <f>"6168"</f>
        <v>6168</v>
      </c>
      <c r="E240" t="str">
        <f>"6168"</f>
        <v>6168</v>
      </c>
      <c r="F240" t="str">
        <f>"P30704"</f>
        <v>P30704</v>
      </c>
      <c r="G240" t="str">
        <f>"8032928155243"</f>
        <v>8032928155243</v>
      </c>
      <c r="H240" t="str">
        <f t="shared" si="4"/>
        <v>Normal</v>
      </c>
      <c r="I240">
        <v>239</v>
      </c>
      <c r="J240" t="s">
        <v>457</v>
      </c>
      <c r="K240" t="s">
        <v>458</v>
      </c>
    </row>
    <row r="241" spans="1:11">
      <c r="A241" t="s">
        <v>245</v>
      </c>
      <c r="B241">
        <v>480</v>
      </c>
      <c r="C241" t="s">
        <v>128</v>
      </c>
      <c r="D241" t="str">
        <f>"6169"</f>
        <v>6169</v>
      </c>
      <c r="E241" t="str">
        <f>"6169"</f>
        <v>6169</v>
      </c>
      <c r="F241" t="str">
        <f>"P30705"</f>
        <v>P30705</v>
      </c>
      <c r="G241" t="str">
        <f>"8032928155250"</f>
        <v>8032928155250</v>
      </c>
      <c r="H241" t="str">
        <f t="shared" si="4"/>
        <v>Normal</v>
      </c>
      <c r="I241">
        <v>240</v>
      </c>
      <c r="J241" t="s">
        <v>459</v>
      </c>
      <c r="K241" t="s">
        <v>460</v>
      </c>
    </row>
    <row r="242" spans="1:11">
      <c r="A242" t="s">
        <v>245</v>
      </c>
      <c r="B242">
        <v>480</v>
      </c>
      <c r="C242" t="s">
        <v>128</v>
      </c>
      <c r="D242" t="str">
        <f>"6170"</f>
        <v>6170</v>
      </c>
      <c r="E242" t="str">
        <f>"6170"</f>
        <v>6170</v>
      </c>
      <c r="F242" t="str">
        <f>"P30706"</f>
        <v>P30706</v>
      </c>
      <c r="G242" t="str">
        <f>"8032928155267"</f>
        <v>8032928155267</v>
      </c>
      <c r="H242" t="str">
        <f t="shared" si="4"/>
        <v>Normal</v>
      </c>
      <c r="I242">
        <v>241</v>
      </c>
      <c r="J242" t="s">
        <v>461</v>
      </c>
      <c r="K242" t="s">
        <v>462</v>
      </c>
    </row>
    <row r="243" spans="1:11">
      <c r="A243" t="s">
        <v>245</v>
      </c>
      <c r="B243">
        <v>480</v>
      </c>
      <c r="C243" t="s">
        <v>128</v>
      </c>
      <c r="D243" t="str">
        <f>"6171"</f>
        <v>6171</v>
      </c>
      <c r="E243" t="str">
        <f>"6171"</f>
        <v>6171</v>
      </c>
      <c r="F243" t="str">
        <f>"P30707"</f>
        <v>P30707</v>
      </c>
      <c r="G243" t="str">
        <f>"8032928155274"</f>
        <v>8032928155274</v>
      </c>
      <c r="H243" t="str">
        <f t="shared" si="4"/>
        <v>Normal</v>
      </c>
      <c r="I243">
        <v>242</v>
      </c>
      <c r="J243" t="s">
        <v>463</v>
      </c>
      <c r="K243" t="s">
        <v>464</v>
      </c>
    </row>
    <row r="244" spans="1:11">
      <c r="A244" t="s">
        <v>245</v>
      </c>
      <c r="B244">
        <v>480</v>
      </c>
      <c r="C244" t="s">
        <v>128</v>
      </c>
      <c r="D244" t="str">
        <f>"6172"</f>
        <v>6172</v>
      </c>
      <c r="E244" t="str">
        <f>"6172"</f>
        <v>6172</v>
      </c>
      <c r="F244" t="str">
        <f>"P30708"</f>
        <v>P30708</v>
      </c>
      <c r="G244" t="str">
        <f>"8032928155281"</f>
        <v>8032928155281</v>
      </c>
      <c r="H244" t="str">
        <f t="shared" si="4"/>
        <v>Normal</v>
      </c>
      <c r="I244">
        <v>243</v>
      </c>
      <c r="J244" t="s">
        <v>465</v>
      </c>
      <c r="K244" s="1" t="s">
        <v>466</v>
      </c>
    </row>
    <row r="245" spans="1:11">
      <c r="A245" t="s">
        <v>467</v>
      </c>
      <c r="B245">
        <v>480</v>
      </c>
      <c r="C245" t="s">
        <v>128</v>
      </c>
      <c r="D245" t="str">
        <f>"6T47463"</f>
        <v>6T47463</v>
      </c>
      <c r="E245" t="str">
        <f>"6T47463"</f>
        <v>6T47463</v>
      </c>
      <c r="F245" t="str">
        <f>"6T47463"</f>
        <v>6T47463</v>
      </c>
      <c r="G245" t="str">
        <f>"8032532105016"</f>
        <v>8032532105016</v>
      </c>
      <c r="H245" t="str">
        <f t="shared" si="4"/>
        <v>Normal</v>
      </c>
      <c r="I245">
        <v>244</v>
      </c>
      <c r="J245" t="s">
        <v>468</v>
      </c>
      <c r="K245" t="s">
        <v>469</v>
      </c>
    </row>
    <row r="246" spans="1:11">
      <c r="A246" t="s">
        <v>467</v>
      </c>
      <c r="B246">
        <v>480</v>
      </c>
      <c r="C246" t="s">
        <v>128</v>
      </c>
      <c r="D246" t="str">
        <f>"6T47613"</f>
        <v>6T47613</v>
      </c>
      <c r="E246" t="str">
        <f>"6T47613"</f>
        <v>6T47613</v>
      </c>
      <c r="F246" t="str">
        <f>"6T47613"</f>
        <v>6T47613</v>
      </c>
      <c r="G246" t="str">
        <f>"8032532104538"</f>
        <v>8032532104538</v>
      </c>
      <c r="H246" t="str">
        <f t="shared" si="4"/>
        <v>Normal</v>
      </c>
      <c r="I246">
        <v>245</v>
      </c>
      <c r="J246" t="s">
        <v>470</v>
      </c>
      <c r="K246" t="s">
        <v>471</v>
      </c>
    </row>
    <row r="247" spans="1:11">
      <c r="A247" t="s">
        <v>467</v>
      </c>
      <c r="B247">
        <v>480</v>
      </c>
      <c r="C247" t="s">
        <v>128</v>
      </c>
      <c r="D247" t="str">
        <f>"6T47634"</f>
        <v>6T47634</v>
      </c>
      <c r="E247" t="str">
        <f>"6T47634"</f>
        <v>6T47634</v>
      </c>
      <c r="F247" t="str">
        <f>"6T47634"</f>
        <v>6T47634</v>
      </c>
      <c r="G247" t="str">
        <f>"8032532104613"</f>
        <v>8032532104613</v>
      </c>
      <c r="H247" t="str">
        <f t="shared" si="4"/>
        <v>Normal</v>
      </c>
      <c r="I247">
        <v>246</v>
      </c>
      <c r="J247" t="s">
        <v>472</v>
      </c>
      <c r="K247" t="s">
        <v>473</v>
      </c>
    </row>
    <row r="248" spans="1:11">
      <c r="A248" t="s">
        <v>467</v>
      </c>
      <c r="B248">
        <v>480</v>
      </c>
      <c r="C248" t="s">
        <v>128</v>
      </c>
      <c r="D248" t="str">
        <f>"6T47636"</f>
        <v>6T47636</v>
      </c>
      <c r="E248" t="str">
        <f>"6T47636"</f>
        <v>6T47636</v>
      </c>
      <c r="F248" t="str">
        <f>"6T47636"</f>
        <v>6T47636</v>
      </c>
      <c r="G248" t="str">
        <f>"8032532104637"</f>
        <v>8032532104637</v>
      </c>
      <c r="H248" t="str">
        <f t="shared" si="4"/>
        <v>Normal</v>
      </c>
      <c r="I248">
        <v>247</v>
      </c>
      <c r="J248" t="s">
        <v>474</v>
      </c>
      <c r="K248" t="s">
        <v>475</v>
      </c>
    </row>
    <row r="249" spans="1:11">
      <c r="A249" t="s">
        <v>467</v>
      </c>
      <c r="B249">
        <v>480</v>
      </c>
      <c r="C249" t="s">
        <v>128</v>
      </c>
      <c r="D249" t="str">
        <f>"6T47640"</f>
        <v>6T47640</v>
      </c>
      <c r="E249" t="str">
        <f>"6T47640"</f>
        <v>6T47640</v>
      </c>
      <c r="F249" t="str">
        <f>"6T47640"</f>
        <v>6T47640</v>
      </c>
      <c r="G249" t="str">
        <f>"8032532104651"</f>
        <v>8032532104651</v>
      </c>
      <c r="H249" t="str">
        <f t="shared" si="4"/>
        <v>Normal</v>
      </c>
      <c r="I249">
        <v>248</v>
      </c>
      <c r="J249" t="s">
        <v>476</v>
      </c>
      <c r="K249" t="s">
        <v>477</v>
      </c>
    </row>
    <row r="250" spans="1:11">
      <c r="A250" t="s">
        <v>467</v>
      </c>
      <c r="B250">
        <v>480</v>
      </c>
      <c r="C250" t="s">
        <v>128</v>
      </c>
      <c r="D250" t="str">
        <f>"6T47651"</f>
        <v>6T47651</v>
      </c>
      <c r="E250" t="str">
        <f>"6T47651"</f>
        <v>6T47651</v>
      </c>
      <c r="F250" t="str">
        <f>"6T47651"</f>
        <v>6T47651</v>
      </c>
      <c r="G250" t="str">
        <f>"8032532104729"</f>
        <v>8032532104729</v>
      </c>
      <c r="H250" t="str">
        <f t="shared" si="4"/>
        <v>Normal</v>
      </c>
      <c r="I250">
        <v>249</v>
      </c>
      <c r="J250" t="s">
        <v>478</v>
      </c>
      <c r="K250" t="s">
        <v>479</v>
      </c>
    </row>
    <row r="251" spans="1:11">
      <c r="A251" t="s">
        <v>467</v>
      </c>
      <c r="B251">
        <v>480</v>
      </c>
      <c r="C251" t="s">
        <v>128</v>
      </c>
      <c r="D251" t="str">
        <f>"6T47654"</f>
        <v>6T47654</v>
      </c>
      <c r="E251" t="str">
        <f>"6T47654"</f>
        <v>6T47654</v>
      </c>
      <c r="F251" t="str">
        <f>"6T47654"</f>
        <v>6T47654</v>
      </c>
      <c r="G251" t="str">
        <f>"8032532104736"</f>
        <v>8032532104736</v>
      </c>
      <c r="H251" t="str">
        <f t="shared" si="4"/>
        <v>Normal</v>
      </c>
      <c r="I251">
        <v>250</v>
      </c>
      <c r="J251" t="s">
        <v>480</v>
      </c>
      <c r="K251" t="s">
        <v>481</v>
      </c>
    </row>
    <row r="252" spans="1:11">
      <c r="A252" t="s">
        <v>467</v>
      </c>
      <c r="B252">
        <v>480</v>
      </c>
      <c r="C252" t="s">
        <v>128</v>
      </c>
      <c r="D252" t="str">
        <f>"6T47660"</f>
        <v>6T47660</v>
      </c>
      <c r="E252" t="str">
        <f>"6T47660"</f>
        <v>6T47660</v>
      </c>
      <c r="F252" t="str">
        <f>"6T47660"</f>
        <v>6T47660</v>
      </c>
      <c r="G252" t="str">
        <f>"8032532104781"</f>
        <v>8032532104781</v>
      </c>
      <c r="H252" t="str">
        <f t="shared" si="4"/>
        <v>Normal</v>
      </c>
      <c r="I252">
        <v>251</v>
      </c>
      <c r="J252" t="s">
        <v>482</v>
      </c>
      <c r="K252" s="1" t="s">
        <v>483</v>
      </c>
    </row>
    <row r="253" spans="1:11">
      <c r="A253" t="s">
        <v>467</v>
      </c>
      <c r="B253">
        <v>480</v>
      </c>
      <c r="C253" t="s">
        <v>128</v>
      </c>
      <c r="D253" t="str">
        <f>"6T47669"</f>
        <v>6T47669</v>
      </c>
      <c r="E253" t="str">
        <f>"6T47669"</f>
        <v>6T47669</v>
      </c>
      <c r="F253" t="str">
        <f>"6T47669"</f>
        <v>6T47669</v>
      </c>
      <c r="G253" t="str">
        <f>"8032532104811"</f>
        <v>8032532104811</v>
      </c>
      <c r="H253" t="str">
        <f t="shared" si="4"/>
        <v>Normal</v>
      </c>
      <c r="I253">
        <v>252</v>
      </c>
      <c r="J253" t="s">
        <v>484</v>
      </c>
      <c r="K253" s="1" t="s">
        <v>485</v>
      </c>
    </row>
    <row r="254" spans="1:11">
      <c r="A254" t="s">
        <v>467</v>
      </c>
      <c r="B254">
        <v>480</v>
      </c>
      <c r="C254" t="s">
        <v>128</v>
      </c>
      <c r="D254" t="str">
        <f>"6T47676"</f>
        <v>6T47676</v>
      </c>
      <c r="E254" t="str">
        <f>"6T47676"</f>
        <v>6T47676</v>
      </c>
      <c r="F254" t="str">
        <f>"6T47676"</f>
        <v>6T47676</v>
      </c>
      <c r="G254" t="str">
        <f>"8032532104859"</f>
        <v>8032532104859</v>
      </c>
      <c r="H254" t="str">
        <f t="shared" si="4"/>
        <v>Normal</v>
      </c>
      <c r="I254">
        <v>253</v>
      </c>
      <c r="J254" t="s">
        <v>486</v>
      </c>
      <c r="K254" t="s">
        <v>487</v>
      </c>
    </row>
    <row r="255" spans="1:11">
      <c r="A255" t="s">
        <v>467</v>
      </c>
      <c r="B255">
        <v>480</v>
      </c>
      <c r="C255" t="s">
        <v>128</v>
      </c>
      <c r="D255" t="str">
        <f>"6T47680"</f>
        <v>6T47680</v>
      </c>
      <c r="E255" t="str">
        <f>"6T47680"</f>
        <v>6T47680</v>
      </c>
      <c r="F255" t="str">
        <f>"6T47680"</f>
        <v>6T47680</v>
      </c>
      <c r="G255" t="str">
        <f>"8032532104880"</f>
        <v>8032532104880</v>
      </c>
      <c r="H255" t="str">
        <f t="shared" si="4"/>
        <v>Normal</v>
      </c>
      <c r="I255">
        <v>254</v>
      </c>
      <c r="J255" t="s">
        <v>488</v>
      </c>
      <c r="K255" t="s">
        <v>489</v>
      </c>
    </row>
    <row r="256" spans="1:11">
      <c r="A256" t="s">
        <v>467</v>
      </c>
      <c r="B256">
        <v>480</v>
      </c>
      <c r="C256" t="s">
        <v>128</v>
      </c>
      <c r="D256" t="str">
        <f>"6T47688"</f>
        <v>6T47688</v>
      </c>
      <c r="E256" t="str">
        <f>"6T47688"</f>
        <v>6T47688</v>
      </c>
      <c r="F256" t="str">
        <f>"6T47688"</f>
        <v>6T47688</v>
      </c>
      <c r="G256" t="str">
        <f>"8032532104934"</f>
        <v>8032532104934</v>
      </c>
      <c r="H256" t="str">
        <f t="shared" si="4"/>
        <v>Normal</v>
      </c>
      <c r="I256">
        <v>255</v>
      </c>
      <c r="J256" t="s">
        <v>490</v>
      </c>
      <c r="K256" t="s">
        <v>491</v>
      </c>
    </row>
    <row r="257" spans="1:11">
      <c r="A257" t="s">
        <v>467</v>
      </c>
      <c r="B257">
        <v>480</v>
      </c>
      <c r="C257" t="s">
        <v>128</v>
      </c>
      <c r="D257" t="str">
        <f>"6T47694"</f>
        <v>6T47694</v>
      </c>
      <c r="E257" t="str">
        <f>"6T47694"</f>
        <v>6T47694</v>
      </c>
      <c r="F257" t="str">
        <f>"6T47694"</f>
        <v>6T47694</v>
      </c>
      <c r="G257" t="str">
        <f>"8032532104989"</f>
        <v>8032532104989</v>
      </c>
      <c r="H257" t="str">
        <f t="shared" si="4"/>
        <v>Normal</v>
      </c>
      <c r="I257">
        <v>256</v>
      </c>
      <c r="J257" t="s">
        <v>492</v>
      </c>
      <c r="K257" t="s">
        <v>493</v>
      </c>
    </row>
    <row r="258" spans="1:11">
      <c r="A258" t="s">
        <v>467</v>
      </c>
      <c r="B258">
        <v>480</v>
      </c>
      <c r="C258" t="s">
        <v>128</v>
      </c>
      <c r="D258" t="str">
        <f>"6T47825"</f>
        <v>6T47825</v>
      </c>
      <c r="E258" t="str">
        <f>"6T47825"</f>
        <v>6T47825</v>
      </c>
      <c r="F258" t="str">
        <f>"6T47825"</f>
        <v>6T47825</v>
      </c>
      <c r="G258" t="str">
        <f>"8032532104194"</f>
        <v>8032532104194</v>
      </c>
      <c r="H258" t="str">
        <f t="shared" si="4"/>
        <v>Normal</v>
      </c>
      <c r="I258">
        <v>257</v>
      </c>
      <c r="J258" t="s">
        <v>494</v>
      </c>
      <c r="K258" t="s">
        <v>495</v>
      </c>
    </row>
    <row r="259" spans="1:11">
      <c r="A259" t="s">
        <v>467</v>
      </c>
      <c r="B259">
        <v>480</v>
      </c>
      <c r="C259" t="s">
        <v>128</v>
      </c>
      <c r="D259" t="str">
        <f>"6T46642"</f>
        <v>6T46642</v>
      </c>
      <c r="E259" t="str">
        <f>"6T46642"</f>
        <v>6T46642</v>
      </c>
      <c r="F259" t="str">
        <f>"6T46642"</f>
        <v>6T46642</v>
      </c>
      <c r="G259" t="str">
        <f>"8032532081839"</f>
        <v>8032532081839</v>
      </c>
      <c r="H259" t="str">
        <f t="shared" si="4"/>
        <v>Normal</v>
      </c>
      <c r="I259">
        <v>258</v>
      </c>
      <c r="J259" t="s">
        <v>496</v>
      </c>
      <c r="K259" t="s">
        <v>497</v>
      </c>
    </row>
    <row r="260" spans="1:11">
      <c r="A260" t="s">
        <v>467</v>
      </c>
      <c r="B260">
        <v>480</v>
      </c>
      <c r="C260" t="s">
        <v>128</v>
      </c>
      <c r="D260" t="str">
        <f>"6T46643"</f>
        <v>6T46643</v>
      </c>
      <c r="E260" t="str">
        <f>"6T46643"</f>
        <v>6T46643</v>
      </c>
      <c r="F260" t="str">
        <f>"6T46643"</f>
        <v>6T46643</v>
      </c>
      <c r="G260" t="str">
        <f>"8032532081846"</f>
        <v>8032532081846</v>
      </c>
      <c r="H260" t="str">
        <f t="shared" si="4"/>
        <v>Normal</v>
      </c>
      <c r="I260">
        <v>259</v>
      </c>
      <c r="J260" t="s">
        <v>498</v>
      </c>
      <c r="K260" t="s">
        <v>499</v>
      </c>
    </row>
    <row r="261" spans="1:11">
      <c r="A261" t="s">
        <v>467</v>
      </c>
      <c r="B261">
        <v>480</v>
      </c>
      <c r="C261" t="s">
        <v>128</v>
      </c>
      <c r="D261" t="str">
        <f>"6T46824"</f>
        <v>6T46824</v>
      </c>
      <c r="E261" t="str">
        <f>"6T46824"</f>
        <v>6T46824</v>
      </c>
      <c r="F261" t="str">
        <f>"6T46824"</f>
        <v>6T46824</v>
      </c>
      <c r="G261" t="str">
        <f>"8032532089538"</f>
        <v>8032532089538</v>
      </c>
      <c r="H261" t="str">
        <f t="shared" si="4"/>
        <v>Normal</v>
      </c>
      <c r="I261">
        <v>260</v>
      </c>
      <c r="J261" t="s">
        <v>500</v>
      </c>
      <c r="K261" s="1" t="s">
        <v>501</v>
      </c>
    </row>
    <row r="262" spans="1:11">
      <c r="A262" t="s">
        <v>410</v>
      </c>
      <c r="B262">
        <v>480</v>
      </c>
      <c r="C262" t="s">
        <v>128</v>
      </c>
      <c r="D262" t="str">
        <f>"6T46863"</f>
        <v>6T46863</v>
      </c>
      <c r="E262" t="str">
        <f>"6T46863"</f>
        <v>6T46863</v>
      </c>
      <c r="F262" t="str">
        <f>"6T46863"</f>
        <v>6T46863</v>
      </c>
      <c r="G262" t="str">
        <f>"8032532089927"</f>
        <v>8032532089927</v>
      </c>
      <c r="H262" t="str">
        <f t="shared" si="4"/>
        <v>Normal</v>
      </c>
      <c r="I262">
        <v>261</v>
      </c>
      <c r="J262" t="s">
        <v>502</v>
      </c>
      <c r="K262" t="s">
        <v>503</v>
      </c>
    </row>
    <row r="263" spans="1:11">
      <c r="A263" t="s">
        <v>410</v>
      </c>
      <c r="B263">
        <v>480</v>
      </c>
      <c r="C263" t="s">
        <v>128</v>
      </c>
      <c r="D263" t="str">
        <f>"6T46865"</f>
        <v>6T46865</v>
      </c>
      <c r="E263" t="str">
        <f>"6T46865"</f>
        <v>6T46865</v>
      </c>
      <c r="F263" t="str">
        <f>"6T46865"</f>
        <v>6T46865</v>
      </c>
      <c r="G263" t="str">
        <f>"8032532089941"</f>
        <v>8032532089941</v>
      </c>
      <c r="H263" t="str">
        <f t="shared" si="4"/>
        <v>Normal</v>
      </c>
      <c r="I263">
        <v>262</v>
      </c>
      <c r="J263" t="s">
        <v>504</v>
      </c>
      <c r="K263" t="s">
        <v>505</v>
      </c>
    </row>
    <row r="264" spans="1:11">
      <c r="A264" t="s">
        <v>410</v>
      </c>
      <c r="B264">
        <v>480</v>
      </c>
      <c r="C264" t="s">
        <v>128</v>
      </c>
      <c r="D264" t="str">
        <f>"6T46866"</f>
        <v>6T46866</v>
      </c>
      <c r="E264" t="str">
        <f>"6T46866"</f>
        <v>6T46866</v>
      </c>
      <c r="F264" t="str">
        <f>"6T46866"</f>
        <v>6T46866</v>
      </c>
      <c r="G264" t="str">
        <f>"8032532089958"</f>
        <v>8032532089958</v>
      </c>
      <c r="H264" t="str">
        <f t="shared" si="4"/>
        <v>Normal</v>
      </c>
      <c r="I264">
        <v>263</v>
      </c>
      <c r="J264" t="s">
        <v>506</v>
      </c>
      <c r="K264" t="s">
        <v>507</v>
      </c>
    </row>
    <row r="265" spans="1:11">
      <c r="A265" t="s">
        <v>410</v>
      </c>
      <c r="B265">
        <v>480</v>
      </c>
      <c r="C265" t="s">
        <v>128</v>
      </c>
      <c r="D265" t="str">
        <f>"6T46872"</f>
        <v>6T46872</v>
      </c>
      <c r="E265" t="str">
        <f>"6T46872"</f>
        <v>6T46872</v>
      </c>
      <c r="F265" t="str">
        <f>"6T46872"</f>
        <v>6T46872</v>
      </c>
      <c r="G265" t="str">
        <f>"8032532090015"</f>
        <v>8032532090015</v>
      </c>
      <c r="H265" t="str">
        <f t="shared" si="4"/>
        <v>Normal</v>
      </c>
      <c r="I265">
        <v>264</v>
      </c>
      <c r="J265" t="s">
        <v>508</v>
      </c>
      <c r="K265" t="s">
        <v>509</v>
      </c>
    </row>
    <row r="266" spans="1:11">
      <c r="A266" t="s">
        <v>410</v>
      </c>
      <c r="B266">
        <v>480</v>
      </c>
      <c r="C266" t="s">
        <v>128</v>
      </c>
      <c r="D266" t="str">
        <f>"6T46873"</f>
        <v>6T46873</v>
      </c>
      <c r="E266" t="str">
        <f>"6T46873"</f>
        <v>6T46873</v>
      </c>
      <c r="F266" t="str">
        <f>"6T46873"</f>
        <v>6T46873</v>
      </c>
      <c r="G266" t="str">
        <f>"8032532090022"</f>
        <v>8032532090022</v>
      </c>
      <c r="H266" t="str">
        <f t="shared" si="4"/>
        <v>Normal</v>
      </c>
      <c r="I266">
        <v>265</v>
      </c>
      <c r="J266" t="s">
        <v>510</v>
      </c>
      <c r="K266" t="s">
        <v>511</v>
      </c>
    </row>
    <row r="267" spans="1:11">
      <c r="A267" t="s">
        <v>410</v>
      </c>
      <c r="B267">
        <v>480</v>
      </c>
      <c r="C267" t="s">
        <v>128</v>
      </c>
      <c r="D267" t="str">
        <f>"6T46874"</f>
        <v>6T46874</v>
      </c>
      <c r="E267" t="str">
        <f>"6T46874"</f>
        <v>6T46874</v>
      </c>
      <c r="F267" t="str">
        <f>"6T46874"</f>
        <v>6T46874</v>
      </c>
      <c r="G267" t="str">
        <f>"8032532090039"</f>
        <v>8032532090039</v>
      </c>
      <c r="H267" t="str">
        <f t="shared" si="4"/>
        <v>Normal</v>
      </c>
      <c r="I267">
        <v>266</v>
      </c>
      <c r="J267" t="s">
        <v>512</v>
      </c>
      <c r="K267" t="s">
        <v>513</v>
      </c>
    </row>
    <row r="268" spans="1:11">
      <c r="A268" t="s">
        <v>410</v>
      </c>
      <c r="B268">
        <v>480</v>
      </c>
      <c r="C268" t="s">
        <v>128</v>
      </c>
      <c r="D268" t="str">
        <f>"6T46968"</f>
        <v>6T46968</v>
      </c>
      <c r="E268" t="str">
        <f>"6T46968"</f>
        <v>6T46968</v>
      </c>
      <c r="F268" t="str">
        <f>"6T46968"</f>
        <v>6T46968</v>
      </c>
      <c r="G268" t="str">
        <f>"8032532090978"</f>
        <v>8032532090978</v>
      </c>
      <c r="H268" t="str">
        <f t="shared" si="4"/>
        <v>Normal</v>
      </c>
      <c r="I268">
        <v>267</v>
      </c>
      <c r="J268" t="s">
        <v>514</v>
      </c>
      <c r="K268" t="s">
        <v>515</v>
      </c>
    </row>
    <row r="269" spans="1:11">
      <c r="A269" t="s">
        <v>410</v>
      </c>
      <c r="B269">
        <v>480</v>
      </c>
      <c r="C269" t="s">
        <v>128</v>
      </c>
      <c r="D269" t="str">
        <f>"6T46969"</f>
        <v>6T46969</v>
      </c>
      <c r="E269" t="str">
        <f>"6T46969"</f>
        <v>6T46969</v>
      </c>
      <c r="F269" t="str">
        <f>"6T46969"</f>
        <v>6T46969</v>
      </c>
      <c r="G269" t="str">
        <f>"8032532090985"</f>
        <v>8032532090985</v>
      </c>
      <c r="H269" t="str">
        <f t="shared" si="4"/>
        <v>Normal</v>
      </c>
      <c r="I269">
        <v>268</v>
      </c>
      <c r="J269" t="s">
        <v>516</v>
      </c>
      <c r="K269" t="s">
        <v>517</v>
      </c>
    </row>
    <row r="270" spans="1:11">
      <c r="A270" t="s">
        <v>410</v>
      </c>
      <c r="B270">
        <v>480</v>
      </c>
      <c r="C270" t="s">
        <v>128</v>
      </c>
      <c r="D270" t="str">
        <f>"6T46978"</f>
        <v>6T46978</v>
      </c>
      <c r="E270" t="str">
        <f>"6T46978"</f>
        <v>6T46978</v>
      </c>
      <c r="F270" t="str">
        <f>"6T46978"</f>
        <v>6T46978</v>
      </c>
      <c r="G270" t="str">
        <f>"8032532091074"</f>
        <v>8032532091074</v>
      </c>
      <c r="H270" t="str">
        <f t="shared" si="4"/>
        <v>Normal</v>
      </c>
      <c r="I270">
        <v>269</v>
      </c>
      <c r="J270" t="s">
        <v>518</v>
      </c>
      <c r="K270" t="s">
        <v>519</v>
      </c>
    </row>
    <row r="271" spans="1:11">
      <c r="A271" t="s">
        <v>467</v>
      </c>
      <c r="B271">
        <v>480</v>
      </c>
      <c r="C271" t="s">
        <v>128</v>
      </c>
      <c r="D271" t="str">
        <f>"6T47942"</f>
        <v>6T47942</v>
      </c>
      <c r="E271" t="str">
        <f>"6T47942"</f>
        <v>6T47942</v>
      </c>
      <c r="F271" t="str">
        <f>"6T47942"</f>
        <v>6T47942</v>
      </c>
      <c r="G271" t="str">
        <f>"8032928089494"</f>
        <v>8032928089494</v>
      </c>
      <c r="H271" t="str">
        <f t="shared" si="4"/>
        <v>Normal</v>
      </c>
      <c r="I271">
        <v>270</v>
      </c>
      <c r="J271" t="s">
        <v>520</v>
      </c>
      <c r="K271" t="s">
        <v>521</v>
      </c>
    </row>
    <row r="272" spans="1:11">
      <c r="A272" t="s">
        <v>467</v>
      </c>
      <c r="B272">
        <v>480</v>
      </c>
      <c r="C272" t="s">
        <v>128</v>
      </c>
      <c r="D272" t="str">
        <f>"6T47945"</f>
        <v>6T47945</v>
      </c>
      <c r="E272" t="str">
        <f>"6T47945"</f>
        <v>6T47945</v>
      </c>
      <c r="F272" t="str">
        <f>"6T47945"</f>
        <v>6T47945</v>
      </c>
      <c r="G272" t="str">
        <f>"8032928089524"</f>
        <v>8032928089524</v>
      </c>
      <c r="H272" t="str">
        <f t="shared" si="4"/>
        <v>Normal</v>
      </c>
      <c r="I272">
        <v>271</v>
      </c>
      <c r="J272" t="s">
        <v>522</v>
      </c>
      <c r="K272" s="1" t="s">
        <v>523</v>
      </c>
    </row>
    <row r="273" spans="1:11">
      <c r="A273" t="s">
        <v>467</v>
      </c>
      <c r="B273">
        <v>480</v>
      </c>
      <c r="C273" t="s">
        <v>128</v>
      </c>
      <c r="D273" t="str">
        <f>"6T47946"</f>
        <v>6T47946</v>
      </c>
      <c r="E273" t="str">
        <f>"6T47946"</f>
        <v>6T47946</v>
      </c>
      <c r="F273" t="str">
        <f>"6T47946"</f>
        <v>6T47946</v>
      </c>
      <c r="G273" t="str">
        <f>"8032928089531"</f>
        <v>8032928089531</v>
      </c>
      <c r="H273" t="str">
        <f t="shared" si="4"/>
        <v>Normal</v>
      </c>
      <c r="I273">
        <v>272</v>
      </c>
      <c r="J273" t="s">
        <v>524</v>
      </c>
      <c r="K273" s="1" t="s">
        <v>525</v>
      </c>
    </row>
    <row r="274" spans="1:11">
      <c r="A274" t="s">
        <v>467</v>
      </c>
      <c r="B274">
        <v>480</v>
      </c>
      <c r="C274" t="s">
        <v>128</v>
      </c>
      <c r="D274" t="str">
        <f>"6T47985"</f>
        <v>6T47985</v>
      </c>
      <c r="E274" t="str">
        <f>"6T47985"</f>
        <v>6T47985</v>
      </c>
      <c r="F274" t="str">
        <f>"6T47985"</f>
        <v>6T47985</v>
      </c>
      <c r="G274" t="str">
        <f>"8032928089920"</f>
        <v>8032928089920</v>
      </c>
      <c r="H274" t="str">
        <f t="shared" si="4"/>
        <v>Normal</v>
      </c>
      <c r="I274">
        <v>273</v>
      </c>
      <c r="J274" t="s">
        <v>526</v>
      </c>
      <c r="K274" t="s">
        <v>527</v>
      </c>
    </row>
    <row r="275" spans="1:11">
      <c r="A275" t="s">
        <v>467</v>
      </c>
      <c r="B275">
        <v>480</v>
      </c>
      <c r="C275" t="s">
        <v>128</v>
      </c>
      <c r="D275" t="str">
        <f>"6T47986"</f>
        <v>6T47986</v>
      </c>
      <c r="E275" t="str">
        <f>"6T47986"</f>
        <v>6T47986</v>
      </c>
      <c r="F275" t="str">
        <f>"6T47986"</f>
        <v>6T47986</v>
      </c>
      <c r="G275" t="str">
        <f>"8032928089937"</f>
        <v>8032928089937</v>
      </c>
      <c r="H275" t="str">
        <f t="shared" si="4"/>
        <v>Normal</v>
      </c>
      <c r="I275">
        <v>274</v>
      </c>
      <c r="J275" t="s">
        <v>528</v>
      </c>
      <c r="K275" t="s">
        <v>529</v>
      </c>
    </row>
    <row r="276" spans="1:11">
      <c r="A276" t="s">
        <v>467</v>
      </c>
      <c r="B276">
        <v>480</v>
      </c>
      <c r="C276" t="s">
        <v>128</v>
      </c>
      <c r="D276" t="str">
        <f>"6T47987"</f>
        <v>6T47987</v>
      </c>
      <c r="E276" t="str">
        <f>"6T47987"</f>
        <v>6T47987</v>
      </c>
      <c r="F276" t="str">
        <f>"6T47987"</f>
        <v>6T47987</v>
      </c>
      <c r="G276" t="str">
        <f>"8032928089944"</f>
        <v>8032928089944</v>
      </c>
      <c r="H276" t="str">
        <f t="shared" si="4"/>
        <v>Normal</v>
      </c>
      <c r="I276">
        <v>275</v>
      </c>
      <c r="J276" t="s">
        <v>530</v>
      </c>
      <c r="K276" t="s">
        <v>531</v>
      </c>
    </row>
    <row r="277" spans="1:11">
      <c r="A277" t="s">
        <v>467</v>
      </c>
      <c r="B277">
        <v>480</v>
      </c>
      <c r="C277" t="s">
        <v>128</v>
      </c>
      <c r="D277" t="str">
        <f>"6T47988"</f>
        <v>6T47988</v>
      </c>
      <c r="E277" t="str">
        <f>"6T47988"</f>
        <v>6T47988</v>
      </c>
      <c r="F277" t="str">
        <f>"6T47988"</f>
        <v>6T47988</v>
      </c>
      <c r="G277" t="str">
        <f>"8032928089951"</f>
        <v>8032928089951</v>
      </c>
      <c r="H277" t="str">
        <f t="shared" si="4"/>
        <v>Normal</v>
      </c>
      <c r="I277">
        <v>276</v>
      </c>
      <c r="J277" t="s">
        <v>532</v>
      </c>
      <c r="K277" t="s">
        <v>533</v>
      </c>
    </row>
    <row r="278" spans="1:11">
      <c r="A278" t="s">
        <v>467</v>
      </c>
      <c r="B278">
        <v>480</v>
      </c>
      <c r="C278" t="s">
        <v>128</v>
      </c>
      <c r="D278" t="str">
        <f>"6T47989"</f>
        <v>6T47989</v>
      </c>
      <c r="E278" t="str">
        <f>"6T47989"</f>
        <v>6T47989</v>
      </c>
      <c r="F278" t="str">
        <f>"6T47989"</f>
        <v>6T47989</v>
      </c>
      <c r="G278" t="str">
        <f>"8032928089968"</f>
        <v>8032928089968</v>
      </c>
      <c r="H278" t="str">
        <f t="shared" si="4"/>
        <v>Normal</v>
      </c>
      <c r="I278">
        <v>277</v>
      </c>
      <c r="J278" t="s">
        <v>534</v>
      </c>
      <c r="K278" t="s">
        <v>535</v>
      </c>
    </row>
    <row r="279" spans="1:11">
      <c r="A279" t="s">
        <v>467</v>
      </c>
      <c r="B279">
        <v>480</v>
      </c>
      <c r="C279" t="s">
        <v>128</v>
      </c>
      <c r="D279" t="str">
        <f>"6T48006"</f>
        <v>6T48006</v>
      </c>
      <c r="E279" t="str">
        <f>"6T48006"</f>
        <v>6T48006</v>
      </c>
      <c r="F279" t="str">
        <f>"6T48006"</f>
        <v>6T48006</v>
      </c>
      <c r="G279" t="str">
        <f>"8032928090131"</f>
        <v>8032928090131</v>
      </c>
      <c r="H279" t="str">
        <f t="shared" si="4"/>
        <v>Normal</v>
      </c>
      <c r="I279">
        <v>278</v>
      </c>
      <c r="J279" t="s">
        <v>536</v>
      </c>
      <c r="K279" t="s">
        <v>537</v>
      </c>
    </row>
    <row r="280" spans="1:11">
      <c r="A280" t="s">
        <v>467</v>
      </c>
      <c r="B280">
        <v>480</v>
      </c>
      <c r="C280" t="s">
        <v>128</v>
      </c>
      <c r="D280" t="str">
        <f>"6T48018"</f>
        <v>6T48018</v>
      </c>
      <c r="E280" t="str">
        <f>"6T48018"</f>
        <v>6T48018</v>
      </c>
      <c r="F280" t="str">
        <f>"6T48018"</f>
        <v>6T48018</v>
      </c>
      <c r="G280" t="str">
        <f>"8032928090247"</f>
        <v>8032928090247</v>
      </c>
      <c r="H280" t="str">
        <f t="shared" si="4"/>
        <v>Normal</v>
      </c>
      <c r="I280">
        <v>279</v>
      </c>
      <c r="J280" t="s">
        <v>538</v>
      </c>
      <c r="K280" t="s">
        <v>539</v>
      </c>
    </row>
    <row r="281" spans="1:11">
      <c r="A281" t="s">
        <v>467</v>
      </c>
      <c r="B281">
        <v>480</v>
      </c>
      <c r="C281" t="s">
        <v>128</v>
      </c>
      <c r="D281" t="str">
        <f>"6T48027"</f>
        <v>6T48027</v>
      </c>
      <c r="E281" t="str">
        <f>"6T48027"</f>
        <v>6T48027</v>
      </c>
      <c r="F281" t="str">
        <f>"6T48027"</f>
        <v>6T48027</v>
      </c>
      <c r="G281" t="str">
        <f>"8032928090339"</f>
        <v>8032928090339</v>
      </c>
      <c r="H281" t="str">
        <f t="shared" si="4"/>
        <v>Normal</v>
      </c>
      <c r="I281">
        <v>280</v>
      </c>
      <c r="J281" t="s">
        <v>540</v>
      </c>
      <c r="K281" t="s">
        <v>541</v>
      </c>
    </row>
    <row r="282" spans="1:11">
      <c r="A282" t="s">
        <v>467</v>
      </c>
      <c r="B282">
        <v>480</v>
      </c>
      <c r="C282" t="s">
        <v>128</v>
      </c>
      <c r="D282" t="str">
        <f>"6T48034"</f>
        <v>6T48034</v>
      </c>
      <c r="E282" t="str">
        <f>"6T48034"</f>
        <v>6T48034</v>
      </c>
      <c r="F282" t="str">
        <f>"6T48034"</f>
        <v>6T48034</v>
      </c>
      <c r="G282" t="str">
        <f>"8032928090407"</f>
        <v>8032928090407</v>
      </c>
      <c r="H282" t="str">
        <f t="shared" si="4"/>
        <v>Normal</v>
      </c>
      <c r="I282">
        <v>281</v>
      </c>
      <c r="J282" t="s">
        <v>542</v>
      </c>
      <c r="K282" s="1" t="s">
        <v>543</v>
      </c>
    </row>
    <row r="283" spans="1:11">
      <c r="A283" t="s">
        <v>467</v>
      </c>
      <c r="B283">
        <v>480</v>
      </c>
      <c r="C283" t="s">
        <v>128</v>
      </c>
      <c r="D283" t="str">
        <f>"6T48058"</f>
        <v>6T48058</v>
      </c>
      <c r="E283" t="str">
        <f>"6T48058"</f>
        <v>6T48058</v>
      </c>
      <c r="F283" t="str">
        <f>"6T48058"</f>
        <v>6T48058</v>
      </c>
      <c r="G283" t="str">
        <f>"8032928090643"</f>
        <v>8032928090643</v>
      </c>
      <c r="H283" t="str">
        <f t="shared" si="4"/>
        <v>Normal</v>
      </c>
      <c r="I283">
        <v>282</v>
      </c>
      <c r="J283" t="s">
        <v>544</v>
      </c>
      <c r="K283" s="1" t="s">
        <v>545</v>
      </c>
    </row>
    <row r="284" spans="1:11">
      <c r="A284" t="s">
        <v>467</v>
      </c>
      <c r="B284">
        <v>480</v>
      </c>
      <c r="C284" t="s">
        <v>128</v>
      </c>
      <c r="D284" t="str">
        <f>"6T48084"</f>
        <v>6T48084</v>
      </c>
      <c r="E284" t="str">
        <f>"6T48084"</f>
        <v>6T48084</v>
      </c>
      <c r="F284" t="str">
        <f>"6T48084"</f>
        <v>6T48084</v>
      </c>
      <c r="G284" t="str">
        <f>"8032928090896"</f>
        <v>8032928090896</v>
      </c>
      <c r="H284" t="str">
        <f t="shared" si="4"/>
        <v>Normal</v>
      </c>
      <c r="I284">
        <v>283</v>
      </c>
      <c r="J284" t="s">
        <v>546</v>
      </c>
      <c r="K284" t="s">
        <v>547</v>
      </c>
    </row>
    <row r="285" spans="1:11">
      <c r="A285" t="s">
        <v>467</v>
      </c>
      <c r="B285">
        <v>480</v>
      </c>
      <c r="C285" t="s">
        <v>128</v>
      </c>
      <c r="D285" t="str">
        <f>"6T48088"</f>
        <v>6T48088</v>
      </c>
      <c r="E285" t="str">
        <f>"6T48088"</f>
        <v>6T48088</v>
      </c>
      <c r="F285" t="str">
        <f>"6T48088"</f>
        <v>6T48088</v>
      </c>
      <c r="G285" t="str">
        <f>"8032928090933"</f>
        <v>8032928090933</v>
      </c>
      <c r="H285" t="str">
        <f t="shared" si="4"/>
        <v>Normal</v>
      </c>
      <c r="I285">
        <v>284</v>
      </c>
      <c r="J285" t="s">
        <v>548</v>
      </c>
      <c r="K285" t="s">
        <v>549</v>
      </c>
    </row>
    <row r="286" spans="1:11">
      <c r="A286" t="s">
        <v>467</v>
      </c>
      <c r="B286">
        <v>480</v>
      </c>
      <c r="C286" t="s">
        <v>128</v>
      </c>
      <c r="D286" t="str">
        <f>"6T48089"</f>
        <v>6T48089</v>
      </c>
      <c r="E286" t="str">
        <f>"6T48089"</f>
        <v>6T48089</v>
      </c>
      <c r="F286" t="str">
        <f>"6T48089"</f>
        <v>6T48089</v>
      </c>
      <c r="G286" t="str">
        <f>"8032928090940"</f>
        <v>8032928090940</v>
      </c>
      <c r="H286" t="str">
        <f t="shared" si="4"/>
        <v>Normal</v>
      </c>
      <c r="I286">
        <v>285</v>
      </c>
      <c r="J286" t="s">
        <v>550</v>
      </c>
      <c r="K286" t="s">
        <v>551</v>
      </c>
    </row>
    <row r="287" spans="1:11">
      <c r="A287" t="s">
        <v>467</v>
      </c>
      <c r="B287">
        <v>480</v>
      </c>
      <c r="C287" t="s">
        <v>128</v>
      </c>
      <c r="D287" t="str">
        <f>"6T48110"</f>
        <v>6T48110</v>
      </c>
      <c r="E287" t="str">
        <f>"6T48110"</f>
        <v>6T48110</v>
      </c>
      <c r="F287" t="str">
        <f>"6T48110"</f>
        <v>6T48110</v>
      </c>
      <c r="G287" t="str">
        <f>"8032928091107"</f>
        <v>8032928091107</v>
      </c>
      <c r="H287" t="str">
        <f t="shared" si="4"/>
        <v>Normal</v>
      </c>
      <c r="I287">
        <v>286</v>
      </c>
      <c r="J287" t="s">
        <v>552</v>
      </c>
      <c r="K287" t="s">
        <v>553</v>
      </c>
    </row>
    <row r="288" spans="1:11">
      <c r="A288" t="s">
        <v>467</v>
      </c>
      <c r="B288">
        <v>480</v>
      </c>
      <c r="C288" t="s">
        <v>128</v>
      </c>
      <c r="D288" t="str">
        <f>"6T48138"</f>
        <v>6T48138</v>
      </c>
      <c r="E288" t="str">
        <f>"6T48138"</f>
        <v>6T48138</v>
      </c>
      <c r="F288" t="str">
        <f>"6T48138"</f>
        <v>6T48138</v>
      </c>
      <c r="G288" t="str">
        <f>"8032928091312"</f>
        <v>8032928091312</v>
      </c>
      <c r="H288" t="str">
        <f t="shared" ref="H288:H351" si="5">"Normal"</f>
        <v>Normal</v>
      </c>
      <c r="I288">
        <v>287</v>
      </c>
      <c r="J288" t="s">
        <v>554</v>
      </c>
      <c r="K288" s="1" t="s">
        <v>555</v>
      </c>
    </row>
    <row r="289" spans="1:11">
      <c r="A289" t="s">
        <v>467</v>
      </c>
      <c r="B289">
        <v>480</v>
      </c>
      <c r="C289" t="s">
        <v>128</v>
      </c>
      <c r="D289" t="str">
        <f>"6T48166"</f>
        <v>6T48166</v>
      </c>
      <c r="E289" t="str">
        <f>"6T48166"</f>
        <v>6T48166</v>
      </c>
      <c r="F289" t="str">
        <f>"6T48166"</f>
        <v>6T48166</v>
      </c>
      <c r="G289" t="str">
        <f>"8032928091589"</f>
        <v>8032928091589</v>
      </c>
      <c r="H289" t="str">
        <f t="shared" si="5"/>
        <v>Normal</v>
      </c>
      <c r="I289">
        <v>288</v>
      </c>
      <c r="J289" t="s">
        <v>556</v>
      </c>
      <c r="K289" t="s">
        <v>557</v>
      </c>
    </row>
    <row r="290" spans="1:11">
      <c r="A290" t="s">
        <v>467</v>
      </c>
      <c r="B290">
        <v>480</v>
      </c>
      <c r="C290" t="s">
        <v>128</v>
      </c>
      <c r="D290" t="str">
        <f>"6T48167"</f>
        <v>6T48167</v>
      </c>
      <c r="E290" t="str">
        <f>"6T48167"</f>
        <v>6T48167</v>
      </c>
      <c r="F290" t="str">
        <f>"6T48167"</f>
        <v>6T48167</v>
      </c>
      <c r="G290" t="str">
        <f>"8032928091596"</f>
        <v>8032928091596</v>
      </c>
      <c r="H290" t="str">
        <f t="shared" si="5"/>
        <v>Normal</v>
      </c>
      <c r="I290">
        <v>289</v>
      </c>
      <c r="J290" t="s">
        <v>558</v>
      </c>
      <c r="K290" t="s">
        <v>559</v>
      </c>
    </row>
    <row r="291" spans="1:11">
      <c r="A291" t="s">
        <v>467</v>
      </c>
      <c r="B291">
        <v>480</v>
      </c>
      <c r="C291" t="s">
        <v>128</v>
      </c>
      <c r="D291" t="str">
        <f>"6T48168"</f>
        <v>6T48168</v>
      </c>
      <c r="E291" t="str">
        <f>"6T48168"</f>
        <v>6T48168</v>
      </c>
      <c r="F291" t="str">
        <f>"6T48168"</f>
        <v>6T48168</v>
      </c>
      <c r="G291" t="str">
        <f>"8032928091602"</f>
        <v>8032928091602</v>
      </c>
      <c r="H291" t="str">
        <f t="shared" si="5"/>
        <v>Normal</v>
      </c>
      <c r="I291">
        <v>290</v>
      </c>
      <c r="J291" t="s">
        <v>560</v>
      </c>
      <c r="K291" t="s">
        <v>561</v>
      </c>
    </row>
    <row r="292" spans="1:11">
      <c r="A292" t="s">
        <v>467</v>
      </c>
      <c r="B292">
        <v>480</v>
      </c>
      <c r="C292" t="s">
        <v>128</v>
      </c>
      <c r="D292" t="str">
        <f>"6T48169"</f>
        <v>6T48169</v>
      </c>
      <c r="E292" t="str">
        <f>"6T48169"</f>
        <v>6T48169</v>
      </c>
      <c r="F292" t="str">
        <f>"6T48169"</f>
        <v>6T48169</v>
      </c>
      <c r="G292" t="str">
        <f>"8032928091619"</f>
        <v>8032928091619</v>
      </c>
      <c r="H292" t="str">
        <f t="shared" si="5"/>
        <v>Normal</v>
      </c>
      <c r="I292">
        <v>291</v>
      </c>
      <c r="J292" t="s">
        <v>562</v>
      </c>
      <c r="K292" t="s">
        <v>563</v>
      </c>
    </row>
    <row r="293" spans="1:11">
      <c r="A293" t="s">
        <v>467</v>
      </c>
      <c r="B293">
        <v>480</v>
      </c>
      <c r="C293" t="s">
        <v>128</v>
      </c>
      <c r="D293" t="str">
        <f>"6T46063"</f>
        <v>6T46063</v>
      </c>
      <c r="E293" t="str">
        <f>"6T46063"</f>
        <v>6T46063</v>
      </c>
      <c r="F293" t="str">
        <f>"6T46063"</f>
        <v>6T46063</v>
      </c>
      <c r="G293" t="str">
        <f>"8032532082386"</f>
        <v>8032532082386</v>
      </c>
      <c r="H293" t="str">
        <f t="shared" si="5"/>
        <v>Normal</v>
      </c>
      <c r="I293">
        <v>292</v>
      </c>
      <c r="J293" t="s">
        <v>564</v>
      </c>
      <c r="K293" s="1" t="s">
        <v>565</v>
      </c>
    </row>
    <row r="294" spans="1:11">
      <c r="A294" t="s">
        <v>467</v>
      </c>
      <c r="B294">
        <v>480</v>
      </c>
      <c r="C294" t="s">
        <v>128</v>
      </c>
      <c r="D294" t="str">
        <f>"6T48440"</f>
        <v>6T48440</v>
      </c>
      <c r="E294" t="str">
        <f>"6T48440"</f>
        <v>6T48440</v>
      </c>
      <c r="F294" t="str">
        <f>"6T48440"</f>
        <v>6T48440</v>
      </c>
      <c r="G294" t="str">
        <f>"8032928127202"</f>
        <v>8032928127202</v>
      </c>
      <c r="H294" t="str">
        <f t="shared" si="5"/>
        <v>Normal</v>
      </c>
      <c r="I294">
        <v>293</v>
      </c>
      <c r="J294" t="s">
        <v>566</v>
      </c>
      <c r="K294" t="s">
        <v>567</v>
      </c>
    </row>
    <row r="295" spans="1:11">
      <c r="A295" t="s">
        <v>467</v>
      </c>
      <c r="B295">
        <v>480</v>
      </c>
      <c r="C295" t="s">
        <v>128</v>
      </c>
      <c r="D295" t="str">
        <f>"6T48441"</f>
        <v>6T48441</v>
      </c>
      <c r="E295" t="str">
        <f>"6T48441"</f>
        <v>6T48441</v>
      </c>
      <c r="F295" t="str">
        <f>"6T48441"</f>
        <v>6T48441</v>
      </c>
      <c r="G295" t="str">
        <f>"8032928127219"</f>
        <v>8032928127219</v>
      </c>
      <c r="H295" t="str">
        <f t="shared" si="5"/>
        <v>Normal</v>
      </c>
      <c r="I295">
        <v>294</v>
      </c>
      <c r="J295" t="s">
        <v>568</v>
      </c>
      <c r="K295" t="s">
        <v>569</v>
      </c>
    </row>
    <row r="296" spans="1:11">
      <c r="A296" t="s">
        <v>467</v>
      </c>
      <c r="B296">
        <v>480</v>
      </c>
      <c r="C296" t="s">
        <v>128</v>
      </c>
      <c r="D296" t="str">
        <f>"6T48444"</f>
        <v>6T48444</v>
      </c>
      <c r="E296" t="str">
        <f>"6T48444"</f>
        <v>6T48444</v>
      </c>
      <c r="F296" t="str">
        <f>"6T48444"</f>
        <v>6T48444</v>
      </c>
      <c r="G296" t="str">
        <f>"8032928127240"</f>
        <v>8032928127240</v>
      </c>
      <c r="H296" t="str">
        <f t="shared" si="5"/>
        <v>Normal</v>
      </c>
      <c r="I296">
        <v>295</v>
      </c>
      <c r="J296" t="s">
        <v>570</v>
      </c>
      <c r="K296" t="s">
        <v>571</v>
      </c>
    </row>
    <row r="297" spans="1:11">
      <c r="A297" t="s">
        <v>467</v>
      </c>
      <c r="B297">
        <v>480</v>
      </c>
      <c r="C297" t="s">
        <v>128</v>
      </c>
      <c r="D297" t="str">
        <f>"6T48445"</f>
        <v>6T48445</v>
      </c>
      <c r="E297" t="str">
        <f>"6T48445"</f>
        <v>6T48445</v>
      </c>
      <c r="F297" t="str">
        <f>"6T48445"</f>
        <v>6T48445</v>
      </c>
      <c r="G297" t="str">
        <f>"8032928127257"</f>
        <v>8032928127257</v>
      </c>
      <c r="H297" t="str">
        <f t="shared" si="5"/>
        <v>Normal</v>
      </c>
      <c r="I297">
        <v>296</v>
      </c>
      <c r="J297" t="s">
        <v>572</v>
      </c>
      <c r="K297" t="s">
        <v>573</v>
      </c>
    </row>
    <row r="298" spans="1:11">
      <c r="A298" t="s">
        <v>467</v>
      </c>
      <c r="B298">
        <v>480</v>
      </c>
      <c r="C298" t="s">
        <v>128</v>
      </c>
      <c r="D298" t="str">
        <f>"6T48447"</f>
        <v>6T48447</v>
      </c>
      <c r="E298" t="str">
        <f>"6T48447"</f>
        <v>6T48447</v>
      </c>
      <c r="F298" t="str">
        <f>"6T48447"</f>
        <v>6T48447</v>
      </c>
      <c r="G298" t="str">
        <f>"8032928127271"</f>
        <v>8032928127271</v>
      </c>
      <c r="H298" t="str">
        <f t="shared" si="5"/>
        <v>Normal</v>
      </c>
      <c r="I298">
        <v>297</v>
      </c>
      <c r="J298" t="s">
        <v>574</v>
      </c>
      <c r="K298" t="s">
        <v>575</v>
      </c>
    </row>
    <row r="299" spans="1:11">
      <c r="A299" t="s">
        <v>467</v>
      </c>
      <c r="B299">
        <v>480</v>
      </c>
      <c r="C299" t="s">
        <v>128</v>
      </c>
      <c r="D299" t="str">
        <f>"6T48448"</f>
        <v>6T48448</v>
      </c>
      <c r="E299" t="str">
        <f>"6T48448"</f>
        <v>6T48448</v>
      </c>
      <c r="F299" t="str">
        <f>"6T48448"</f>
        <v>6T48448</v>
      </c>
      <c r="G299" t="str">
        <f>"8032928127288"</f>
        <v>8032928127288</v>
      </c>
      <c r="H299" t="str">
        <f t="shared" si="5"/>
        <v>Normal</v>
      </c>
      <c r="I299">
        <v>298</v>
      </c>
      <c r="J299" t="s">
        <v>576</v>
      </c>
      <c r="K299" t="s">
        <v>577</v>
      </c>
    </row>
    <row r="300" spans="1:11">
      <c r="A300" t="s">
        <v>467</v>
      </c>
      <c r="B300">
        <v>480</v>
      </c>
      <c r="C300" t="s">
        <v>128</v>
      </c>
      <c r="D300" t="str">
        <f>"6T48461"</f>
        <v>6T48461</v>
      </c>
      <c r="E300" t="str">
        <f>"6T48461"</f>
        <v>6T48461</v>
      </c>
      <c r="F300" t="str">
        <f>"6T48461"</f>
        <v>6T48461</v>
      </c>
      <c r="G300" t="str">
        <f>"8032928127417"</f>
        <v>8032928127417</v>
      </c>
      <c r="H300" t="str">
        <f t="shared" si="5"/>
        <v>Normal</v>
      </c>
      <c r="I300">
        <v>299</v>
      </c>
      <c r="J300" t="s">
        <v>578</v>
      </c>
      <c r="K300" t="s">
        <v>579</v>
      </c>
    </row>
    <row r="301" spans="1:11">
      <c r="A301" t="s">
        <v>467</v>
      </c>
      <c r="B301">
        <v>480</v>
      </c>
      <c r="C301" t="s">
        <v>128</v>
      </c>
      <c r="D301" t="str">
        <f>"6T48470"</f>
        <v>6T48470</v>
      </c>
      <c r="E301" t="str">
        <f>"6T48470"</f>
        <v>6T48470</v>
      </c>
      <c r="F301" t="str">
        <f>"6T48470"</f>
        <v>6T48470</v>
      </c>
      <c r="G301" t="str">
        <f>"8032928127509"</f>
        <v>8032928127509</v>
      </c>
      <c r="H301" t="str">
        <f t="shared" si="5"/>
        <v>Normal</v>
      </c>
      <c r="I301">
        <v>300</v>
      </c>
      <c r="J301" t="s">
        <v>580</v>
      </c>
      <c r="K301" t="s">
        <v>581</v>
      </c>
    </row>
    <row r="302" spans="1:11">
      <c r="A302" t="s">
        <v>467</v>
      </c>
      <c r="B302">
        <v>480</v>
      </c>
      <c r="C302" t="s">
        <v>128</v>
      </c>
      <c r="D302" t="str">
        <f>"6T48471"</f>
        <v>6T48471</v>
      </c>
      <c r="E302" t="str">
        <f>"6T48471"</f>
        <v>6T48471</v>
      </c>
      <c r="F302" t="str">
        <f>"6T48471"</f>
        <v>6T48471</v>
      </c>
      <c r="G302" t="str">
        <f>"8032928127516"</f>
        <v>8032928127516</v>
      </c>
      <c r="H302" t="str">
        <f t="shared" si="5"/>
        <v>Normal</v>
      </c>
      <c r="I302">
        <v>301</v>
      </c>
      <c r="J302" t="s">
        <v>582</v>
      </c>
      <c r="K302" t="s">
        <v>583</v>
      </c>
    </row>
    <row r="303" spans="1:11">
      <c r="A303" t="s">
        <v>467</v>
      </c>
      <c r="B303">
        <v>480</v>
      </c>
      <c r="C303" t="s">
        <v>128</v>
      </c>
      <c r="D303" t="str">
        <f>"6T48478"</f>
        <v>6T48478</v>
      </c>
      <c r="E303" t="str">
        <f>"6T48478"</f>
        <v>6T48478</v>
      </c>
      <c r="F303" t="str">
        <f>"6T48478"</f>
        <v>6T48478</v>
      </c>
      <c r="G303" t="str">
        <f>"8032928127561"</f>
        <v>8032928127561</v>
      </c>
      <c r="H303" t="str">
        <f t="shared" si="5"/>
        <v>Normal</v>
      </c>
      <c r="I303">
        <v>302</v>
      </c>
      <c r="J303" t="s">
        <v>584</v>
      </c>
      <c r="K303" t="s">
        <v>585</v>
      </c>
    </row>
    <row r="304" spans="1:11">
      <c r="A304" t="s">
        <v>467</v>
      </c>
      <c r="B304">
        <v>480</v>
      </c>
      <c r="C304" t="s">
        <v>128</v>
      </c>
      <c r="D304" t="str">
        <f>"6T48479"</f>
        <v>6T48479</v>
      </c>
      <c r="E304" t="str">
        <f>"6T48479"</f>
        <v>6T48479</v>
      </c>
      <c r="F304" t="str">
        <f>"6T48479"</f>
        <v>6T48479</v>
      </c>
      <c r="G304" t="str">
        <f>"8032928127578"</f>
        <v>8032928127578</v>
      </c>
      <c r="H304" t="str">
        <f t="shared" si="5"/>
        <v>Normal</v>
      </c>
      <c r="I304">
        <v>303</v>
      </c>
      <c r="J304" t="s">
        <v>586</v>
      </c>
      <c r="K304" t="s">
        <v>587</v>
      </c>
    </row>
    <row r="305" spans="1:11">
      <c r="A305" t="s">
        <v>467</v>
      </c>
      <c r="B305">
        <v>480</v>
      </c>
      <c r="C305" t="s">
        <v>128</v>
      </c>
      <c r="D305" t="str">
        <f>"6T48480"</f>
        <v>6T48480</v>
      </c>
      <c r="E305" t="str">
        <f>"6T48480"</f>
        <v>6T48480</v>
      </c>
      <c r="F305" t="str">
        <f>"6T48480"</f>
        <v>6T48480</v>
      </c>
      <c r="G305" t="str">
        <f>"8032928127585"</f>
        <v>8032928127585</v>
      </c>
      <c r="H305" t="str">
        <f t="shared" si="5"/>
        <v>Normal</v>
      </c>
      <c r="I305">
        <v>304</v>
      </c>
      <c r="J305" t="s">
        <v>588</v>
      </c>
      <c r="K305" t="s">
        <v>589</v>
      </c>
    </row>
    <row r="306" spans="1:11">
      <c r="A306" t="s">
        <v>467</v>
      </c>
      <c r="B306">
        <v>480</v>
      </c>
      <c r="C306" t="s">
        <v>128</v>
      </c>
      <c r="D306" t="str">
        <f>"6T48482"</f>
        <v>6T48482</v>
      </c>
      <c r="E306" t="str">
        <f>"6T48482"</f>
        <v>6T48482</v>
      </c>
      <c r="F306" t="str">
        <f>"6T48482"</f>
        <v>6T48482</v>
      </c>
      <c r="G306" t="str">
        <f>"8032928127592"</f>
        <v>8032928127592</v>
      </c>
      <c r="H306" t="str">
        <f t="shared" si="5"/>
        <v>Normal</v>
      </c>
      <c r="I306">
        <v>305</v>
      </c>
      <c r="J306" t="s">
        <v>590</v>
      </c>
      <c r="K306" t="s">
        <v>591</v>
      </c>
    </row>
    <row r="307" spans="1:11">
      <c r="A307" t="s">
        <v>467</v>
      </c>
      <c r="B307">
        <v>480</v>
      </c>
      <c r="C307" t="s">
        <v>128</v>
      </c>
      <c r="D307" t="str">
        <f>"6T48483"</f>
        <v>6T48483</v>
      </c>
      <c r="E307" t="str">
        <f>"6T48483"</f>
        <v>6T48483</v>
      </c>
      <c r="F307" t="str">
        <f>"6T48483"</f>
        <v>6T48483</v>
      </c>
      <c r="G307" t="str">
        <f>"8032928127608"</f>
        <v>8032928127608</v>
      </c>
      <c r="H307" t="str">
        <f t="shared" si="5"/>
        <v>Normal</v>
      </c>
      <c r="I307">
        <v>306</v>
      </c>
      <c r="J307" t="s">
        <v>592</v>
      </c>
      <c r="K307" t="s">
        <v>593</v>
      </c>
    </row>
    <row r="308" spans="1:11">
      <c r="A308" t="s">
        <v>467</v>
      </c>
      <c r="B308">
        <v>480</v>
      </c>
      <c r="C308" t="s">
        <v>128</v>
      </c>
      <c r="D308" t="str">
        <f>"6T48490"</f>
        <v>6T48490</v>
      </c>
      <c r="E308" t="str">
        <f>"6T48490"</f>
        <v>6T48490</v>
      </c>
      <c r="F308" t="str">
        <f>"6T48490"</f>
        <v>6T48490</v>
      </c>
      <c r="G308" t="str">
        <f>"8032928127660"</f>
        <v>8032928127660</v>
      </c>
      <c r="H308" t="str">
        <f t="shared" si="5"/>
        <v>Normal</v>
      </c>
      <c r="I308">
        <v>307</v>
      </c>
      <c r="J308" t="s">
        <v>594</v>
      </c>
      <c r="K308" t="s">
        <v>595</v>
      </c>
    </row>
    <row r="309" spans="1:11">
      <c r="A309" t="s">
        <v>467</v>
      </c>
      <c r="B309">
        <v>480</v>
      </c>
      <c r="C309" t="s">
        <v>128</v>
      </c>
      <c r="D309" t="str">
        <f>"6T48491"</f>
        <v>6T48491</v>
      </c>
      <c r="E309" t="str">
        <f>"6T48491"</f>
        <v>6T48491</v>
      </c>
      <c r="F309" t="str">
        <f>"6T48491"</f>
        <v>6T48491</v>
      </c>
      <c r="G309" t="str">
        <f>"8032928127677"</f>
        <v>8032928127677</v>
      </c>
      <c r="H309" t="str">
        <f t="shared" si="5"/>
        <v>Normal</v>
      </c>
      <c r="I309">
        <v>308</v>
      </c>
      <c r="J309" t="s">
        <v>596</v>
      </c>
      <c r="K309" t="s">
        <v>597</v>
      </c>
    </row>
    <row r="310" spans="1:11">
      <c r="A310" t="s">
        <v>467</v>
      </c>
      <c r="B310">
        <v>480</v>
      </c>
      <c r="C310" t="s">
        <v>128</v>
      </c>
      <c r="D310" t="str">
        <f>"6T48492"</f>
        <v>6T48492</v>
      </c>
      <c r="E310" t="str">
        <f>"6T48492"</f>
        <v>6T48492</v>
      </c>
      <c r="F310" t="str">
        <f>"6T48492"</f>
        <v>6T48492</v>
      </c>
      <c r="G310" t="str">
        <f>"8032928127684"</f>
        <v>8032928127684</v>
      </c>
      <c r="H310" t="str">
        <f t="shared" si="5"/>
        <v>Normal</v>
      </c>
      <c r="I310">
        <v>309</v>
      </c>
      <c r="J310" t="s">
        <v>598</v>
      </c>
      <c r="K310" t="s">
        <v>599</v>
      </c>
    </row>
    <row r="311" spans="1:11">
      <c r="A311" t="s">
        <v>467</v>
      </c>
      <c r="B311">
        <v>480</v>
      </c>
      <c r="C311" t="s">
        <v>128</v>
      </c>
      <c r="D311" t="str">
        <f>"6T48493"</f>
        <v>6T48493</v>
      </c>
      <c r="E311" t="str">
        <f>"6T48493"</f>
        <v>6T48493</v>
      </c>
      <c r="F311" t="str">
        <f>"6T48493"</f>
        <v>6T48493</v>
      </c>
      <c r="G311" t="str">
        <f>"8032928127691"</f>
        <v>8032928127691</v>
      </c>
      <c r="H311" t="str">
        <f t="shared" si="5"/>
        <v>Normal</v>
      </c>
      <c r="I311">
        <v>310</v>
      </c>
      <c r="J311" t="s">
        <v>600</v>
      </c>
      <c r="K311" t="s">
        <v>601</v>
      </c>
    </row>
    <row r="312" spans="1:11">
      <c r="A312" t="s">
        <v>467</v>
      </c>
      <c r="B312">
        <v>480</v>
      </c>
      <c r="C312" t="s">
        <v>128</v>
      </c>
      <c r="D312" t="str">
        <f>"6T48494"</f>
        <v>6T48494</v>
      </c>
      <c r="E312" t="str">
        <f>"6T48494"</f>
        <v>6T48494</v>
      </c>
      <c r="F312" t="str">
        <f>"6T48494"</f>
        <v>6T48494</v>
      </c>
      <c r="G312" t="str">
        <f>"8032928127707"</f>
        <v>8032928127707</v>
      </c>
      <c r="H312" t="str">
        <f t="shared" si="5"/>
        <v>Normal</v>
      </c>
      <c r="I312">
        <v>311</v>
      </c>
      <c r="J312" t="s">
        <v>602</v>
      </c>
      <c r="K312" t="s">
        <v>603</v>
      </c>
    </row>
    <row r="313" spans="1:11">
      <c r="A313" t="s">
        <v>467</v>
      </c>
      <c r="B313">
        <v>480</v>
      </c>
      <c r="C313" t="s">
        <v>128</v>
      </c>
      <c r="D313" t="str">
        <f>"6T48495"</f>
        <v>6T48495</v>
      </c>
      <c r="E313" t="str">
        <f>"6T48495"</f>
        <v>6T48495</v>
      </c>
      <c r="F313" t="str">
        <f>"6T48495"</f>
        <v>6T48495</v>
      </c>
      <c r="G313" t="str">
        <f>"8032928127714"</f>
        <v>8032928127714</v>
      </c>
      <c r="H313" t="str">
        <f t="shared" si="5"/>
        <v>Normal</v>
      </c>
      <c r="I313">
        <v>312</v>
      </c>
      <c r="J313" t="s">
        <v>604</v>
      </c>
      <c r="K313" t="s">
        <v>605</v>
      </c>
    </row>
    <row r="314" spans="1:11">
      <c r="A314" t="s">
        <v>467</v>
      </c>
      <c r="B314">
        <v>480</v>
      </c>
      <c r="C314" t="s">
        <v>128</v>
      </c>
      <c r="D314" t="str">
        <f>"6T48496"</f>
        <v>6T48496</v>
      </c>
      <c r="E314" t="str">
        <f>"6T48496"</f>
        <v>6T48496</v>
      </c>
      <c r="F314" t="str">
        <f>"6T48496"</f>
        <v>6T48496</v>
      </c>
      <c r="G314" t="str">
        <f>"8032928127721"</f>
        <v>8032928127721</v>
      </c>
      <c r="H314" t="str">
        <f t="shared" si="5"/>
        <v>Normal</v>
      </c>
      <c r="I314">
        <v>313</v>
      </c>
      <c r="J314" t="s">
        <v>606</v>
      </c>
      <c r="K314" t="s">
        <v>607</v>
      </c>
    </row>
    <row r="315" spans="1:11">
      <c r="A315" t="s">
        <v>467</v>
      </c>
      <c r="B315">
        <v>480</v>
      </c>
      <c r="C315" t="s">
        <v>128</v>
      </c>
      <c r="D315" t="str">
        <f>"6T48501"</f>
        <v>6T48501</v>
      </c>
      <c r="E315" t="str">
        <f>"6T48501"</f>
        <v>6T48501</v>
      </c>
      <c r="F315" t="str">
        <f>"6T48501"</f>
        <v>6T48501</v>
      </c>
      <c r="G315" t="str">
        <f>"8032928127776"</f>
        <v>8032928127776</v>
      </c>
      <c r="H315" t="str">
        <f t="shared" si="5"/>
        <v>Normal</v>
      </c>
      <c r="I315">
        <v>314</v>
      </c>
      <c r="J315" t="s">
        <v>608</v>
      </c>
      <c r="K315" t="s">
        <v>609</v>
      </c>
    </row>
    <row r="316" spans="1:11">
      <c r="A316" t="s">
        <v>467</v>
      </c>
      <c r="B316">
        <v>480</v>
      </c>
      <c r="C316" t="s">
        <v>128</v>
      </c>
      <c r="D316" t="str">
        <f>"6T48502"</f>
        <v>6T48502</v>
      </c>
      <c r="E316" t="str">
        <f>"6T48502"</f>
        <v>6T48502</v>
      </c>
      <c r="F316" t="str">
        <f>"6T48502"</f>
        <v>6T48502</v>
      </c>
      <c r="G316" t="str">
        <f>"8032928127783"</f>
        <v>8032928127783</v>
      </c>
      <c r="H316" t="str">
        <f t="shared" si="5"/>
        <v>Normal</v>
      </c>
      <c r="I316">
        <v>315</v>
      </c>
      <c r="J316" t="s">
        <v>610</v>
      </c>
      <c r="K316" t="s">
        <v>611</v>
      </c>
    </row>
    <row r="317" spans="1:11">
      <c r="A317" t="s">
        <v>467</v>
      </c>
      <c r="B317">
        <v>480</v>
      </c>
      <c r="C317" t="s">
        <v>128</v>
      </c>
      <c r="D317" t="str">
        <f>"6T48505"</f>
        <v>6T48505</v>
      </c>
      <c r="E317" t="str">
        <f>"6T48505"</f>
        <v>6T48505</v>
      </c>
      <c r="F317" t="str">
        <f>"6T48505"</f>
        <v>6T48505</v>
      </c>
      <c r="G317" t="str">
        <f>"8032928127813"</f>
        <v>8032928127813</v>
      </c>
      <c r="H317" t="str">
        <f t="shared" si="5"/>
        <v>Normal</v>
      </c>
      <c r="I317">
        <v>316</v>
      </c>
      <c r="J317" t="s">
        <v>612</v>
      </c>
      <c r="K317" t="s">
        <v>613</v>
      </c>
    </row>
    <row r="318" spans="1:11">
      <c r="A318" t="s">
        <v>467</v>
      </c>
      <c r="B318">
        <v>480</v>
      </c>
      <c r="C318" t="s">
        <v>128</v>
      </c>
      <c r="D318" t="str">
        <f>"6T48508"</f>
        <v>6T48508</v>
      </c>
      <c r="E318" t="str">
        <f>"6T48508"</f>
        <v>6T48508</v>
      </c>
      <c r="F318" t="str">
        <f>"6T48508"</f>
        <v>6T48508</v>
      </c>
      <c r="G318" t="str">
        <f>"8032928127844"</f>
        <v>8032928127844</v>
      </c>
      <c r="H318" t="str">
        <f t="shared" si="5"/>
        <v>Normal</v>
      </c>
      <c r="I318">
        <v>317</v>
      </c>
      <c r="J318" t="s">
        <v>614</v>
      </c>
      <c r="K318" t="s">
        <v>615</v>
      </c>
    </row>
    <row r="319" spans="1:11">
      <c r="A319" t="s">
        <v>467</v>
      </c>
      <c r="B319">
        <v>480</v>
      </c>
      <c r="C319" t="s">
        <v>128</v>
      </c>
      <c r="D319" t="str">
        <f>"6T48509"</f>
        <v>6T48509</v>
      </c>
      <c r="E319" t="str">
        <f>"6T48509"</f>
        <v>6T48509</v>
      </c>
      <c r="F319" t="str">
        <f>"6T48509"</f>
        <v>6T48509</v>
      </c>
      <c r="G319" t="str">
        <f>"8032928127851"</f>
        <v>8032928127851</v>
      </c>
      <c r="H319" t="str">
        <f t="shared" si="5"/>
        <v>Normal</v>
      </c>
      <c r="I319">
        <v>318</v>
      </c>
      <c r="J319" t="s">
        <v>616</v>
      </c>
      <c r="K319" t="s">
        <v>617</v>
      </c>
    </row>
    <row r="320" spans="1:11">
      <c r="A320" t="s">
        <v>467</v>
      </c>
      <c r="B320">
        <v>480</v>
      </c>
      <c r="C320" t="s">
        <v>128</v>
      </c>
      <c r="D320" t="str">
        <f>"6T48510"</f>
        <v>6T48510</v>
      </c>
      <c r="E320" t="str">
        <f>"6T48510"</f>
        <v>6T48510</v>
      </c>
      <c r="F320" t="str">
        <f>"6T48510"</f>
        <v>6T48510</v>
      </c>
      <c r="G320" t="str">
        <f>"8032928127868"</f>
        <v>8032928127868</v>
      </c>
      <c r="H320" t="str">
        <f t="shared" si="5"/>
        <v>Normal</v>
      </c>
      <c r="I320">
        <v>319</v>
      </c>
      <c r="J320" t="s">
        <v>618</v>
      </c>
      <c r="K320" t="s">
        <v>619</v>
      </c>
    </row>
    <row r="321" spans="1:11">
      <c r="A321" t="s">
        <v>467</v>
      </c>
      <c r="B321">
        <v>480</v>
      </c>
      <c r="C321" t="s">
        <v>128</v>
      </c>
      <c r="D321" t="str">
        <f>"6T48511"</f>
        <v>6T48511</v>
      </c>
      <c r="E321" t="str">
        <f>"6T48511"</f>
        <v>6T48511</v>
      </c>
      <c r="F321" t="str">
        <f>"6T48511"</f>
        <v>6T48511</v>
      </c>
      <c r="G321" t="str">
        <f>"8032928127875"</f>
        <v>8032928127875</v>
      </c>
      <c r="H321" t="str">
        <f t="shared" si="5"/>
        <v>Normal</v>
      </c>
      <c r="I321">
        <v>320</v>
      </c>
      <c r="J321" t="s">
        <v>620</v>
      </c>
      <c r="K321" t="s">
        <v>621</v>
      </c>
    </row>
    <row r="322" spans="1:11">
      <c r="A322" t="s">
        <v>467</v>
      </c>
      <c r="B322">
        <v>480</v>
      </c>
      <c r="C322" t="s">
        <v>128</v>
      </c>
      <c r="D322" t="str">
        <f>"6T48512"</f>
        <v>6T48512</v>
      </c>
      <c r="E322" t="str">
        <f>"6T48512"</f>
        <v>6T48512</v>
      </c>
      <c r="F322" t="str">
        <f>"6T48512"</f>
        <v>6T48512</v>
      </c>
      <c r="G322" t="str">
        <f>"8032928127882"</f>
        <v>8032928127882</v>
      </c>
      <c r="H322" t="str">
        <f t="shared" si="5"/>
        <v>Normal</v>
      </c>
      <c r="I322">
        <v>321</v>
      </c>
      <c r="J322" t="s">
        <v>622</v>
      </c>
      <c r="K322" t="s">
        <v>623</v>
      </c>
    </row>
    <row r="323" spans="1:11">
      <c r="A323" t="s">
        <v>467</v>
      </c>
      <c r="B323">
        <v>480</v>
      </c>
      <c r="C323" t="s">
        <v>128</v>
      </c>
      <c r="D323" t="str">
        <f>"6T48513"</f>
        <v>6T48513</v>
      </c>
      <c r="E323" t="str">
        <f>"6T48513"</f>
        <v>6T48513</v>
      </c>
      <c r="F323" t="str">
        <f>"6T48513"</f>
        <v>6T48513</v>
      </c>
      <c r="G323" t="str">
        <f>"8032928127899"</f>
        <v>8032928127899</v>
      </c>
      <c r="H323" t="str">
        <f t="shared" si="5"/>
        <v>Normal</v>
      </c>
      <c r="I323">
        <v>322</v>
      </c>
      <c r="J323" t="s">
        <v>624</v>
      </c>
      <c r="K323" t="s">
        <v>625</v>
      </c>
    </row>
    <row r="324" spans="1:11">
      <c r="A324" t="s">
        <v>467</v>
      </c>
      <c r="B324">
        <v>480</v>
      </c>
      <c r="C324" t="s">
        <v>128</v>
      </c>
      <c r="D324" t="str">
        <f>"6T48514"</f>
        <v>6T48514</v>
      </c>
      <c r="E324" t="str">
        <f>"6T48514"</f>
        <v>6T48514</v>
      </c>
      <c r="F324" t="str">
        <f>"6T48514"</f>
        <v>6T48514</v>
      </c>
      <c r="G324" t="str">
        <f>"8032928127905"</f>
        <v>8032928127905</v>
      </c>
      <c r="H324" t="str">
        <f t="shared" si="5"/>
        <v>Normal</v>
      </c>
      <c r="I324">
        <v>323</v>
      </c>
      <c r="J324" t="s">
        <v>626</v>
      </c>
      <c r="K324" t="s">
        <v>627</v>
      </c>
    </row>
    <row r="325" spans="1:11">
      <c r="A325" t="s">
        <v>467</v>
      </c>
      <c r="B325">
        <v>480</v>
      </c>
      <c r="C325" t="s">
        <v>128</v>
      </c>
      <c r="D325" t="str">
        <f>"6T48515"</f>
        <v>6T48515</v>
      </c>
      <c r="E325" t="str">
        <f>"6T48515"</f>
        <v>6T48515</v>
      </c>
      <c r="F325" t="str">
        <f>"6T48515"</f>
        <v>6T48515</v>
      </c>
      <c r="G325" t="str">
        <f>"8032928127912"</f>
        <v>8032928127912</v>
      </c>
      <c r="H325" t="str">
        <f t="shared" si="5"/>
        <v>Normal</v>
      </c>
      <c r="I325">
        <v>324</v>
      </c>
      <c r="J325" t="s">
        <v>628</v>
      </c>
      <c r="K325" t="s">
        <v>629</v>
      </c>
    </row>
    <row r="326" spans="1:11">
      <c r="A326" t="s">
        <v>467</v>
      </c>
      <c r="B326">
        <v>480</v>
      </c>
      <c r="C326" t="s">
        <v>128</v>
      </c>
      <c r="D326" t="str">
        <f>"6T48516"</f>
        <v>6T48516</v>
      </c>
      <c r="E326" t="str">
        <f>"6T48516"</f>
        <v>6T48516</v>
      </c>
      <c r="F326" t="str">
        <f>"6T48516"</f>
        <v>6T48516</v>
      </c>
      <c r="G326" t="str">
        <f>"8032928127929"</f>
        <v>8032928127929</v>
      </c>
      <c r="H326" t="str">
        <f t="shared" si="5"/>
        <v>Normal</v>
      </c>
      <c r="I326">
        <v>325</v>
      </c>
      <c r="J326" t="s">
        <v>630</v>
      </c>
      <c r="K326" t="s">
        <v>631</v>
      </c>
    </row>
    <row r="327" spans="1:11">
      <c r="A327" t="s">
        <v>467</v>
      </c>
      <c r="B327">
        <v>480</v>
      </c>
      <c r="C327" t="s">
        <v>128</v>
      </c>
      <c r="D327" t="str">
        <f>"6T48518"</f>
        <v>6T48518</v>
      </c>
      <c r="E327" t="str">
        <f>"6T48518"</f>
        <v>6T48518</v>
      </c>
      <c r="F327" t="str">
        <f>"6T48518"</f>
        <v>6T48518</v>
      </c>
      <c r="G327" t="str">
        <f>"8032928127943"</f>
        <v>8032928127943</v>
      </c>
      <c r="H327" t="str">
        <f t="shared" si="5"/>
        <v>Normal</v>
      </c>
      <c r="I327">
        <v>326</v>
      </c>
      <c r="J327" t="s">
        <v>632</v>
      </c>
      <c r="K327" t="s">
        <v>633</v>
      </c>
    </row>
    <row r="328" spans="1:11">
      <c r="A328" t="s">
        <v>467</v>
      </c>
      <c r="B328">
        <v>480</v>
      </c>
      <c r="C328" t="s">
        <v>128</v>
      </c>
      <c r="D328" t="str">
        <f>"6T48522"</f>
        <v>6T48522</v>
      </c>
      <c r="E328" t="str">
        <f>"6T48522"</f>
        <v>6T48522</v>
      </c>
      <c r="F328" t="str">
        <f>"6T48522"</f>
        <v>6T48522</v>
      </c>
      <c r="G328" t="str">
        <f>"8032928127967"</f>
        <v>8032928127967</v>
      </c>
      <c r="H328" t="str">
        <f t="shared" si="5"/>
        <v>Normal</v>
      </c>
      <c r="I328">
        <v>327</v>
      </c>
      <c r="J328" t="s">
        <v>634</v>
      </c>
      <c r="K328" t="s">
        <v>635</v>
      </c>
    </row>
    <row r="329" spans="1:11">
      <c r="A329" t="s">
        <v>467</v>
      </c>
      <c r="B329">
        <v>480</v>
      </c>
      <c r="C329" t="s">
        <v>128</v>
      </c>
      <c r="D329" t="str">
        <f>"6T48531"</f>
        <v>6T48531</v>
      </c>
      <c r="E329" t="str">
        <f>"6T48531"</f>
        <v>6T48531</v>
      </c>
      <c r="F329" t="str">
        <f>"6T48531"</f>
        <v>6T48531</v>
      </c>
      <c r="G329" t="str">
        <f>"8032928127974"</f>
        <v>8032928127974</v>
      </c>
      <c r="H329" t="str">
        <f t="shared" si="5"/>
        <v>Normal</v>
      </c>
      <c r="I329">
        <v>328</v>
      </c>
      <c r="J329" t="s">
        <v>636</v>
      </c>
      <c r="K329" t="s">
        <v>637</v>
      </c>
    </row>
    <row r="330" spans="1:11">
      <c r="A330" t="s">
        <v>467</v>
      </c>
      <c r="B330">
        <v>480</v>
      </c>
      <c r="C330" t="s">
        <v>128</v>
      </c>
      <c r="D330" t="str">
        <f>"6T48537"</f>
        <v>6T48537</v>
      </c>
      <c r="E330" t="str">
        <f>"6T48537"</f>
        <v>6T48537</v>
      </c>
      <c r="F330" t="str">
        <f>"6T48537"</f>
        <v>6T48537</v>
      </c>
      <c r="G330" t="str">
        <f>"8032928128032"</f>
        <v>8032928128032</v>
      </c>
      <c r="H330" t="str">
        <f t="shared" si="5"/>
        <v>Normal</v>
      </c>
      <c r="I330">
        <v>329</v>
      </c>
      <c r="J330" t="s">
        <v>638</v>
      </c>
      <c r="K330" t="s">
        <v>639</v>
      </c>
    </row>
    <row r="331" spans="1:11">
      <c r="A331" t="s">
        <v>467</v>
      </c>
      <c r="B331">
        <v>480</v>
      </c>
      <c r="C331" t="s">
        <v>128</v>
      </c>
      <c r="D331" t="str">
        <f>"6T48538"</f>
        <v>6T48538</v>
      </c>
      <c r="E331" t="str">
        <f>"6T48538"</f>
        <v>6T48538</v>
      </c>
      <c r="F331" t="str">
        <f>"6T48538"</f>
        <v>6T48538</v>
      </c>
      <c r="G331" t="str">
        <f>"8032928128049"</f>
        <v>8032928128049</v>
      </c>
      <c r="H331" t="str">
        <f t="shared" si="5"/>
        <v>Normal</v>
      </c>
      <c r="I331">
        <v>330</v>
      </c>
      <c r="J331" t="s">
        <v>640</v>
      </c>
      <c r="K331" t="s">
        <v>641</v>
      </c>
    </row>
    <row r="332" spans="1:11">
      <c r="A332" t="s">
        <v>467</v>
      </c>
      <c r="B332">
        <v>480</v>
      </c>
      <c r="C332" t="s">
        <v>128</v>
      </c>
      <c r="D332" t="str">
        <f>"6T48539"</f>
        <v>6T48539</v>
      </c>
      <c r="E332" t="str">
        <f>"6T48539"</f>
        <v>6T48539</v>
      </c>
      <c r="F332" t="str">
        <f>"6T48539"</f>
        <v>6T48539</v>
      </c>
      <c r="G332" t="str">
        <f>"8032928128056"</f>
        <v>8032928128056</v>
      </c>
      <c r="H332" t="str">
        <f t="shared" si="5"/>
        <v>Normal</v>
      </c>
      <c r="I332">
        <v>331</v>
      </c>
      <c r="J332" t="s">
        <v>642</v>
      </c>
      <c r="K332" t="s">
        <v>643</v>
      </c>
    </row>
    <row r="333" spans="1:11">
      <c r="A333" t="s">
        <v>467</v>
      </c>
      <c r="B333">
        <v>480</v>
      </c>
      <c r="C333" t="s">
        <v>128</v>
      </c>
      <c r="D333" t="str">
        <f>"6T48541"</f>
        <v>6T48541</v>
      </c>
      <c r="E333" t="str">
        <f>"6T48541"</f>
        <v>6T48541</v>
      </c>
      <c r="F333" t="str">
        <f>"6T48541"</f>
        <v>6T48541</v>
      </c>
      <c r="G333" t="str">
        <f>"8032928128063"</f>
        <v>8032928128063</v>
      </c>
      <c r="H333" t="str">
        <f t="shared" si="5"/>
        <v>Normal</v>
      </c>
      <c r="I333">
        <v>332</v>
      </c>
      <c r="J333" t="s">
        <v>644</v>
      </c>
      <c r="K333" t="s">
        <v>645</v>
      </c>
    </row>
    <row r="334" spans="1:11">
      <c r="A334" t="s">
        <v>467</v>
      </c>
      <c r="B334">
        <v>480</v>
      </c>
      <c r="C334" t="s">
        <v>128</v>
      </c>
      <c r="D334" t="str">
        <f>"6T48542"</f>
        <v>6T48542</v>
      </c>
      <c r="E334" t="str">
        <f>"6T48542"</f>
        <v>6T48542</v>
      </c>
      <c r="F334" t="str">
        <f>"6T48542"</f>
        <v>6T48542</v>
      </c>
      <c r="G334" t="str">
        <f>"8032928128070"</f>
        <v>8032928128070</v>
      </c>
      <c r="H334" t="str">
        <f t="shared" si="5"/>
        <v>Normal</v>
      </c>
      <c r="I334">
        <v>333</v>
      </c>
      <c r="J334" t="s">
        <v>646</v>
      </c>
      <c r="K334" t="s">
        <v>647</v>
      </c>
    </row>
    <row r="335" spans="1:11">
      <c r="A335" t="s">
        <v>467</v>
      </c>
      <c r="B335">
        <v>480</v>
      </c>
      <c r="C335" t="s">
        <v>128</v>
      </c>
      <c r="D335" t="str">
        <f>"6T48543"</f>
        <v>6T48543</v>
      </c>
      <c r="E335" t="str">
        <f>"6T48543"</f>
        <v>6T48543</v>
      </c>
      <c r="F335" t="str">
        <f>"6T48543"</f>
        <v>6T48543</v>
      </c>
      <c r="G335" t="str">
        <f>"8032928128087"</f>
        <v>8032928128087</v>
      </c>
      <c r="H335" t="str">
        <f t="shared" si="5"/>
        <v>Normal</v>
      </c>
      <c r="I335">
        <v>334</v>
      </c>
      <c r="J335" t="s">
        <v>648</v>
      </c>
      <c r="K335" t="s">
        <v>649</v>
      </c>
    </row>
    <row r="336" spans="1:11">
      <c r="A336" t="s">
        <v>467</v>
      </c>
      <c r="B336">
        <v>480</v>
      </c>
      <c r="C336" t="s">
        <v>128</v>
      </c>
      <c r="D336" t="str">
        <f>"6T48544"</f>
        <v>6T48544</v>
      </c>
      <c r="E336" t="str">
        <f>"6T48544"</f>
        <v>6T48544</v>
      </c>
      <c r="F336" t="str">
        <f>"6T48544"</f>
        <v>6T48544</v>
      </c>
      <c r="G336" t="str">
        <f>"8032928128094"</f>
        <v>8032928128094</v>
      </c>
      <c r="H336" t="str">
        <f t="shared" si="5"/>
        <v>Normal</v>
      </c>
      <c r="I336">
        <v>335</v>
      </c>
      <c r="J336" t="s">
        <v>650</v>
      </c>
      <c r="K336" t="s">
        <v>651</v>
      </c>
    </row>
    <row r="337" spans="1:11">
      <c r="A337" t="s">
        <v>467</v>
      </c>
      <c r="B337">
        <v>480</v>
      </c>
      <c r="C337" t="s">
        <v>128</v>
      </c>
      <c r="D337" t="str">
        <f>"6T48545"</f>
        <v>6T48545</v>
      </c>
      <c r="E337" t="str">
        <f>"6T48545"</f>
        <v>6T48545</v>
      </c>
      <c r="F337" t="str">
        <f>"6T48545"</f>
        <v>6T48545</v>
      </c>
      <c r="G337" t="str">
        <f>"8032928128100"</f>
        <v>8032928128100</v>
      </c>
      <c r="H337" t="str">
        <f t="shared" si="5"/>
        <v>Normal</v>
      </c>
      <c r="I337">
        <v>336</v>
      </c>
      <c r="J337" t="s">
        <v>652</v>
      </c>
      <c r="K337" t="s">
        <v>653</v>
      </c>
    </row>
    <row r="338" spans="1:11">
      <c r="A338" t="s">
        <v>467</v>
      </c>
      <c r="B338">
        <v>480</v>
      </c>
      <c r="C338" t="s">
        <v>128</v>
      </c>
      <c r="D338" t="str">
        <f>"6T48546"</f>
        <v>6T48546</v>
      </c>
      <c r="E338" t="str">
        <f>"6T48546"</f>
        <v>6T48546</v>
      </c>
      <c r="F338" t="str">
        <f>"6T48546"</f>
        <v>6T48546</v>
      </c>
      <c r="G338" t="str">
        <f>"8032928128117"</f>
        <v>8032928128117</v>
      </c>
      <c r="H338" t="str">
        <f t="shared" si="5"/>
        <v>Normal</v>
      </c>
      <c r="I338">
        <v>337</v>
      </c>
      <c r="J338" t="s">
        <v>654</v>
      </c>
      <c r="K338" t="s">
        <v>655</v>
      </c>
    </row>
    <row r="339" spans="1:11">
      <c r="A339" t="s">
        <v>467</v>
      </c>
      <c r="B339">
        <v>480</v>
      </c>
      <c r="C339" t="s">
        <v>128</v>
      </c>
      <c r="D339" t="str">
        <f>"6T48548"</f>
        <v>6T48548</v>
      </c>
      <c r="E339" t="str">
        <f>"6T48548"</f>
        <v>6T48548</v>
      </c>
      <c r="F339" t="str">
        <f>"6T48548"</f>
        <v>6T48548</v>
      </c>
      <c r="G339" t="str">
        <f>"8032928128124"</f>
        <v>8032928128124</v>
      </c>
      <c r="H339" t="str">
        <f t="shared" si="5"/>
        <v>Normal</v>
      </c>
      <c r="I339">
        <v>338</v>
      </c>
      <c r="J339" t="s">
        <v>656</v>
      </c>
      <c r="K339" t="s">
        <v>657</v>
      </c>
    </row>
    <row r="340" spans="1:11">
      <c r="A340" t="s">
        <v>467</v>
      </c>
      <c r="B340">
        <v>480</v>
      </c>
      <c r="C340" t="s">
        <v>128</v>
      </c>
      <c r="D340" t="str">
        <f>"6T48549"</f>
        <v>6T48549</v>
      </c>
      <c r="E340" t="str">
        <f>"6T48549"</f>
        <v>6T48549</v>
      </c>
      <c r="F340" t="str">
        <f>"6T48549"</f>
        <v>6T48549</v>
      </c>
      <c r="G340" t="str">
        <f>"8032928128131"</f>
        <v>8032928128131</v>
      </c>
      <c r="H340" t="str">
        <f t="shared" si="5"/>
        <v>Normal</v>
      </c>
      <c r="I340">
        <v>339</v>
      </c>
      <c r="J340" t="s">
        <v>658</v>
      </c>
      <c r="K340" t="s">
        <v>659</v>
      </c>
    </row>
    <row r="341" spans="1:11">
      <c r="A341" t="s">
        <v>467</v>
      </c>
      <c r="B341">
        <v>480</v>
      </c>
      <c r="C341" t="s">
        <v>128</v>
      </c>
      <c r="D341" t="str">
        <f>"6T48550"</f>
        <v>6T48550</v>
      </c>
      <c r="E341" t="str">
        <f>"6T48550"</f>
        <v>6T48550</v>
      </c>
      <c r="F341" t="str">
        <f>"6T48550"</f>
        <v>6T48550</v>
      </c>
      <c r="G341" t="str">
        <f>"8032928128148"</f>
        <v>8032928128148</v>
      </c>
      <c r="H341" t="str">
        <f t="shared" si="5"/>
        <v>Normal</v>
      </c>
      <c r="I341">
        <v>340</v>
      </c>
      <c r="J341" t="s">
        <v>660</v>
      </c>
      <c r="K341" t="s">
        <v>661</v>
      </c>
    </row>
    <row r="342" spans="1:11">
      <c r="A342" t="s">
        <v>467</v>
      </c>
      <c r="B342">
        <v>480</v>
      </c>
      <c r="C342" t="s">
        <v>128</v>
      </c>
      <c r="D342" t="str">
        <f>"6T48551"</f>
        <v>6T48551</v>
      </c>
      <c r="E342" t="str">
        <f>"6T48551"</f>
        <v>6T48551</v>
      </c>
      <c r="F342" t="str">
        <f>"6T48551"</f>
        <v>6T48551</v>
      </c>
      <c r="G342" t="str">
        <f>"8032928128155"</f>
        <v>8032928128155</v>
      </c>
      <c r="H342" t="str">
        <f t="shared" si="5"/>
        <v>Normal</v>
      </c>
      <c r="I342">
        <v>341</v>
      </c>
      <c r="J342" t="s">
        <v>662</v>
      </c>
      <c r="K342" t="s">
        <v>663</v>
      </c>
    </row>
    <row r="343" spans="1:11">
      <c r="A343" t="s">
        <v>467</v>
      </c>
      <c r="B343">
        <v>480</v>
      </c>
      <c r="C343" t="s">
        <v>128</v>
      </c>
      <c r="D343" t="str">
        <f>"6T48558"</f>
        <v>6T48558</v>
      </c>
      <c r="E343" t="str">
        <f>"6T48558"</f>
        <v>6T48558</v>
      </c>
      <c r="F343" t="str">
        <f>"6T48558"</f>
        <v>6T48558</v>
      </c>
      <c r="G343" t="str">
        <f>"8032928128223"</f>
        <v>8032928128223</v>
      </c>
      <c r="H343" t="str">
        <f t="shared" si="5"/>
        <v>Normal</v>
      </c>
      <c r="I343">
        <v>342</v>
      </c>
      <c r="J343" t="s">
        <v>664</v>
      </c>
      <c r="K343" t="s">
        <v>665</v>
      </c>
    </row>
    <row r="344" spans="1:11">
      <c r="A344" t="s">
        <v>467</v>
      </c>
      <c r="B344">
        <v>480</v>
      </c>
      <c r="C344" t="s">
        <v>128</v>
      </c>
      <c r="D344" t="str">
        <f>"6T48559"</f>
        <v>6T48559</v>
      </c>
      <c r="E344" t="str">
        <f>"6T48559"</f>
        <v>6T48559</v>
      </c>
      <c r="F344" t="str">
        <f>"6T48559"</f>
        <v>6T48559</v>
      </c>
      <c r="G344" t="str">
        <f>"8032928128230"</f>
        <v>8032928128230</v>
      </c>
      <c r="H344" t="str">
        <f t="shared" si="5"/>
        <v>Normal</v>
      </c>
      <c r="I344">
        <v>343</v>
      </c>
      <c r="J344" t="s">
        <v>666</v>
      </c>
      <c r="K344" t="s">
        <v>667</v>
      </c>
    </row>
    <row r="345" spans="1:11">
      <c r="A345" t="s">
        <v>467</v>
      </c>
      <c r="B345">
        <v>480</v>
      </c>
      <c r="C345" t="s">
        <v>128</v>
      </c>
      <c r="D345" t="str">
        <f>"6T48560"</f>
        <v>6T48560</v>
      </c>
      <c r="E345" t="str">
        <f>"6T48560"</f>
        <v>6T48560</v>
      </c>
      <c r="F345" t="str">
        <f>"6T48560"</f>
        <v>6T48560</v>
      </c>
      <c r="G345" t="str">
        <f>"8032928128247"</f>
        <v>8032928128247</v>
      </c>
      <c r="H345" t="str">
        <f t="shared" si="5"/>
        <v>Normal</v>
      </c>
      <c r="I345">
        <v>344</v>
      </c>
      <c r="J345" t="s">
        <v>668</v>
      </c>
      <c r="K345" t="s">
        <v>669</v>
      </c>
    </row>
    <row r="346" spans="1:11">
      <c r="A346" t="s">
        <v>467</v>
      </c>
      <c r="B346">
        <v>480</v>
      </c>
      <c r="C346" t="s">
        <v>128</v>
      </c>
      <c r="D346" t="str">
        <f>"6T48561"</f>
        <v>6T48561</v>
      </c>
      <c r="E346" t="str">
        <f>"6T48561"</f>
        <v>6T48561</v>
      </c>
      <c r="F346" t="str">
        <f>"6T48561"</f>
        <v>6T48561</v>
      </c>
      <c r="G346" t="str">
        <f>"8032928128254"</f>
        <v>8032928128254</v>
      </c>
      <c r="H346" t="str">
        <f t="shared" si="5"/>
        <v>Normal</v>
      </c>
      <c r="I346">
        <v>345</v>
      </c>
      <c r="J346" t="s">
        <v>670</v>
      </c>
      <c r="K346" t="s">
        <v>671</v>
      </c>
    </row>
    <row r="347" spans="1:11">
      <c r="A347" t="s">
        <v>467</v>
      </c>
      <c r="B347">
        <v>480</v>
      </c>
      <c r="C347" t="s">
        <v>128</v>
      </c>
      <c r="D347" t="str">
        <f>"6T48583"</f>
        <v>6T48583</v>
      </c>
      <c r="E347" t="str">
        <f>"6T48583"</f>
        <v>6T48583</v>
      </c>
      <c r="F347" t="str">
        <f>"6T48583"</f>
        <v>6T48583</v>
      </c>
      <c r="G347" t="str">
        <f>"8032928128544"</f>
        <v>8032928128544</v>
      </c>
      <c r="H347" t="str">
        <f t="shared" si="5"/>
        <v>Normal</v>
      </c>
      <c r="I347">
        <v>346</v>
      </c>
      <c r="J347" t="s">
        <v>672</v>
      </c>
      <c r="K347" t="s">
        <v>673</v>
      </c>
    </row>
    <row r="348" spans="1:11">
      <c r="A348" t="s">
        <v>467</v>
      </c>
      <c r="B348">
        <v>480</v>
      </c>
      <c r="C348" t="s">
        <v>128</v>
      </c>
      <c r="D348" t="str">
        <f>"6T48585"</f>
        <v>6T48585</v>
      </c>
      <c r="E348" t="str">
        <f>"6T48585"</f>
        <v>6T48585</v>
      </c>
      <c r="F348" t="str">
        <f>"6T48585"</f>
        <v>6T48585</v>
      </c>
      <c r="G348" t="str">
        <f>"8032928134026"</f>
        <v>8032928134026</v>
      </c>
      <c r="H348" t="str">
        <f t="shared" si="5"/>
        <v>Normal</v>
      </c>
      <c r="I348">
        <v>347</v>
      </c>
      <c r="J348" t="s">
        <v>674</v>
      </c>
      <c r="K348" t="s">
        <v>675</v>
      </c>
    </row>
    <row r="349" spans="1:11">
      <c r="A349" t="s">
        <v>467</v>
      </c>
      <c r="B349">
        <v>480</v>
      </c>
      <c r="C349" t="s">
        <v>128</v>
      </c>
      <c r="D349" t="str">
        <f>"6T48586"</f>
        <v>6T48586</v>
      </c>
      <c r="E349" t="str">
        <f>"6T48586"</f>
        <v>6T48586</v>
      </c>
      <c r="F349" t="str">
        <f>"6T48586"</f>
        <v>6T48586</v>
      </c>
      <c r="G349" t="str">
        <f>"8032928134033"</f>
        <v>8032928134033</v>
      </c>
      <c r="H349" t="str">
        <f t="shared" si="5"/>
        <v>Normal</v>
      </c>
      <c r="I349">
        <v>348</v>
      </c>
      <c r="J349" t="s">
        <v>676</v>
      </c>
      <c r="K349" t="s">
        <v>677</v>
      </c>
    </row>
    <row r="350" spans="1:11">
      <c r="A350" t="s">
        <v>467</v>
      </c>
      <c r="B350">
        <v>480</v>
      </c>
      <c r="C350" t="s">
        <v>128</v>
      </c>
      <c r="D350" t="str">
        <f>"6T48588"</f>
        <v>6T48588</v>
      </c>
      <c r="E350" t="str">
        <f>"6T48588"</f>
        <v>6T48588</v>
      </c>
      <c r="F350" t="str">
        <f>"6T48588"</f>
        <v>6T48588</v>
      </c>
      <c r="G350" t="str">
        <f>"8032928152594"</f>
        <v>8032928152594</v>
      </c>
      <c r="H350" t="str">
        <f t="shared" si="5"/>
        <v>Normal</v>
      </c>
      <c r="I350">
        <v>349</v>
      </c>
      <c r="J350" t="s">
        <v>678</v>
      </c>
      <c r="K350" t="s">
        <v>679</v>
      </c>
    </row>
    <row r="351" spans="1:11">
      <c r="A351" t="s">
        <v>467</v>
      </c>
      <c r="B351">
        <v>480</v>
      </c>
      <c r="C351" t="s">
        <v>128</v>
      </c>
      <c r="D351" t="str">
        <f>"6T48589"</f>
        <v>6T48589</v>
      </c>
      <c r="E351" t="str">
        <f>"6T48589"</f>
        <v>6T48589</v>
      </c>
      <c r="F351" t="str">
        <f>"6T48589"</f>
        <v>6T48589</v>
      </c>
      <c r="G351" t="str">
        <f>"8032928152600"</f>
        <v>8032928152600</v>
      </c>
      <c r="H351" t="str">
        <f t="shared" si="5"/>
        <v>Normal</v>
      </c>
      <c r="I351">
        <v>350</v>
      </c>
      <c r="J351" t="s">
        <v>680</v>
      </c>
      <c r="K351" t="s">
        <v>681</v>
      </c>
    </row>
    <row r="352" spans="1:11">
      <c r="A352" t="s">
        <v>467</v>
      </c>
      <c r="B352">
        <v>480</v>
      </c>
      <c r="C352" t="s">
        <v>128</v>
      </c>
      <c r="D352" t="str">
        <f>"6T48590"</f>
        <v>6T48590</v>
      </c>
      <c r="E352" t="str">
        <f>"6T48590"</f>
        <v>6T48590</v>
      </c>
      <c r="F352" t="str">
        <f>"6T48590"</f>
        <v>6T48590</v>
      </c>
      <c r="G352" t="str">
        <f>"8032928152617"</f>
        <v>8032928152617</v>
      </c>
      <c r="H352" t="str">
        <f t="shared" ref="H352:H415" si="6">"Normal"</f>
        <v>Normal</v>
      </c>
      <c r="I352">
        <v>351</v>
      </c>
      <c r="J352" t="s">
        <v>682</v>
      </c>
      <c r="K352" t="s">
        <v>683</v>
      </c>
    </row>
    <row r="353" spans="1:11">
      <c r="A353" t="s">
        <v>467</v>
      </c>
      <c r="B353">
        <v>480</v>
      </c>
      <c r="C353" t="s">
        <v>128</v>
      </c>
      <c r="D353" t="str">
        <f>"6T48591"</f>
        <v>6T48591</v>
      </c>
      <c r="E353" t="str">
        <f>"6T48591"</f>
        <v>6T48591</v>
      </c>
      <c r="F353" t="str">
        <f>"6T48591"</f>
        <v>6T48591</v>
      </c>
      <c r="G353" t="str">
        <f>"8032928152624"</f>
        <v>8032928152624</v>
      </c>
      <c r="H353" t="str">
        <f t="shared" si="6"/>
        <v>Normal</v>
      </c>
      <c r="I353">
        <v>352</v>
      </c>
      <c r="J353" t="s">
        <v>684</v>
      </c>
      <c r="K353" t="s">
        <v>685</v>
      </c>
    </row>
    <row r="354" spans="1:11">
      <c r="A354" t="s">
        <v>467</v>
      </c>
      <c r="B354">
        <v>480</v>
      </c>
      <c r="C354" t="s">
        <v>128</v>
      </c>
      <c r="D354" t="str">
        <f>"6T48592"</f>
        <v>6T48592</v>
      </c>
      <c r="E354" t="str">
        <f>"6T48592"</f>
        <v>6T48592</v>
      </c>
      <c r="F354" t="str">
        <f>"6T48592"</f>
        <v>6T48592</v>
      </c>
      <c r="G354" t="str">
        <f>"8032928152631"</f>
        <v>8032928152631</v>
      </c>
      <c r="H354" t="str">
        <f t="shared" si="6"/>
        <v>Normal</v>
      </c>
      <c r="I354">
        <v>353</v>
      </c>
      <c r="J354" t="s">
        <v>686</v>
      </c>
      <c r="K354" t="s">
        <v>687</v>
      </c>
    </row>
    <row r="355" spans="1:11">
      <c r="A355" t="s">
        <v>467</v>
      </c>
      <c r="B355">
        <v>480</v>
      </c>
      <c r="C355" t="s">
        <v>128</v>
      </c>
      <c r="D355" t="str">
        <f>"6T48593"</f>
        <v>6T48593</v>
      </c>
      <c r="E355" t="str">
        <f>"6T48593"</f>
        <v>6T48593</v>
      </c>
      <c r="F355" t="str">
        <f>"6T48593"</f>
        <v>6T48593</v>
      </c>
      <c r="G355" t="str">
        <f>"8032928152648"</f>
        <v>8032928152648</v>
      </c>
      <c r="H355" t="str">
        <f t="shared" si="6"/>
        <v>Normal</v>
      </c>
      <c r="I355">
        <v>354</v>
      </c>
      <c r="J355" t="s">
        <v>688</v>
      </c>
      <c r="K355" t="s">
        <v>689</v>
      </c>
    </row>
    <row r="356" spans="1:11">
      <c r="A356" t="s">
        <v>467</v>
      </c>
      <c r="B356">
        <v>480</v>
      </c>
      <c r="C356" t="s">
        <v>128</v>
      </c>
      <c r="D356" t="str">
        <f>"6T48594"</f>
        <v>6T48594</v>
      </c>
      <c r="E356" t="str">
        <f>"6T48594"</f>
        <v>6T48594</v>
      </c>
      <c r="F356" t="str">
        <f>"6T48594"</f>
        <v>6T48594</v>
      </c>
      <c r="G356" t="str">
        <f>"8032928152655"</f>
        <v>8032928152655</v>
      </c>
      <c r="H356" t="str">
        <f t="shared" si="6"/>
        <v>Normal</v>
      </c>
      <c r="I356">
        <v>355</v>
      </c>
      <c r="J356" t="s">
        <v>690</v>
      </c>
      <c r="K356" t="s">
        <v>691</v>
      </c>
    </row>
    <row r="357" spans="1:11">
      <c r="A357" t="s">
        <v>467</v>
      </c>
      <c r="B357">
        <v>480</v>
      </c>
      <c r="C357" t="s">
        <v>128</v>
      </c>
      <c r="D357" t="str">
        <f>"6T48595"</f>
        <v>6T48595</v>
      </c>
      <c r="E357" t="str">
        <f>"6T48595"</f>
        <v>6T48595</v>
      </c>
      <c r="F357" t="str">
        <f>"6T48595"</f>
        <v>6T48595</v>
      </c>
      <c r="G357" t="str">
        <f>"8032928152662"</f>
        <v>8032928152662</v>
      </c>
      <c r="H357" t="str">
        <f t="shared" si="6"/>
        <v>Normal</v>
      </c>
      <c r="I357">
        <v>356</v>
      </c>
      <c r="J357" t="s">
        <v>692</v>
      </c>
      <c r="K357" t="s">
        <v>693</v>
      </c>
    </row>
    <row r="358" spans="1:11">
      <c r="A358" t="s">
        <v>467</v>
      </c>
      <c r="B358">
        <v>480</v>
      </c>
      <c r="C358" t="s">
        <v>128</v>
      </c>
      <c r="D358" t="str">
        <f>"6T48596"</f>
        <v>6T48596</v>
      </c>
      <c r="E358" t="str">
        <f>"6T48596"</f>
        <v>6T48596</v>
      </c>
      <c r="F358" t="str">
        <f>"6T48596"</f>
        <v>6T48596</v>
      </c>
      <c r="G358" t="str">
        <f>"8032928152679"</f>
        <v>8032928152679</v>
      </c>
      <c r="H358" t="str">
        <f t="shared" si="6"/>
        <v>Normal</v>
      </c>
      <c r="I358">
        <v>357</v>
      </c>
      <c r="J358" t="s">
        <v>694</v>
      </c>
      <c r="K358" t="s">
        <v>695</v>
      </c>
    </row>
    <row r="359" spans="1:11">
      <c r="A359" t="s">
        <v>467</v>
      </c>
      <c r="B359">
        <v>480</v>
      </c>
      <c r="C359" t="s">
        <v>128</v>
      </c>
      <c r="D359" t="str">
        <f>"6T48597"</f>
        <v>6T48597</v>
      </c>
      <c r="E359" t="str">
        <f>"6T48597"</f>
        <v>6T48597</v>
      </c>
      <c r="F359" t="str">
        <f>"6T48597"</f>
        <v>6T48597</v>
      </c>
      <c r="G359" t="str">
        <f>"8032928152686"</f>
        <v>8032928152686</v>
      </c>
      <c r="H359" t="str">
        <f t="shared" si="6"/>
        <v>Normal</v>
      </c>
      <c r="I359">
        <v>358</v>
      </c>
      <c r="J359" t="s">
        <v>696</v>
      </c>
      <c r="K359" t="s">
        <v>697</v>
      </c>
    </row>
    <row r="360" spans="1:11">
      <c r="A360" t="s">
        <v>467</v>
      </c>
      <c r="B360">
        <v>480</v>
      </c>
      <c r="C360" t="s">
        <v>128</v>
      </c>
      <c r="D360" t="str">
        <f>"6T48598"</f>
        <v>6T48598</v>
      </c>
      <c r="E360" t="str">
        <f>"6T48598"</f>
        <v>6T48598</v>
      </c>
      <c r="F360" t="str">
        <f>"6T48598"</f>
        <v>6T48598</v>
      </c>
      <c r="G360" t="str">
        <f>"8032928152693"</f>
        <v>8032928152693</v>
      </c>
      <c r="H360" t="str">
        <f t="shared" si="6"/>
        <v>Normal</v>
      </c>
      <c r="I360">
        <v>359</v>
      </c>
      <c r="J360" t="s">
        <v>698</v>
      </c>
      <c r="K360" s="1" t="s">
        <v>699</v>
      </c>
    </row>
    <row r="361" spans="1:11">
      <c r="A361" t="s">
        <v>467</v>
      </c>
      <c r="B361">
        <v>480</v>
      </c>
      <c r="C361" t="s">
        <v>128</v>
      </c>
      <c r="D361" t="str">
        <f>"6T48599"</f>
        <v>6T48599</v>
      </c>
      <c r="E361" t="str">
        <f>"6T48599"</f>
        <v>6T48599</v>
      </c>
      <c r="F361" t="str">
        <f>"6T48599"</f>
        <v>6T48599</v>
      </c>
      <c r="G361" t="str">
        <f>"8032928152709"</f>
        <v>8032928152709</v>
      </c>
      <c r="H361" t="str">
        <f t="shared" si="6"/>
        <v>Normal</v>
      </c>
      <c r="I361">
        <v>360</v>
      </c>
      <c r="J361" t="s">
        <v>700</v>
      </c>
      <c r="K361" s="1" t="s">
        <v>701</v>
      </c>
    </row>
    <row r="362" spans="1:11">
      <c r="A362" t="s">
        <v>467</v>
      </c>
      <c r="B362">
        <v>480</v>
      </c>
      <c r="C362" t="s">
        <v>128</v>
      </c>
      <c r="D362" t="str">
        <f>"6T48600"</f>
        <v>6T48600</v>
      </c>
      <c r="E362" t="str">
        <f>"6T48600"</f>
        <v>6T48600</v>
      </c>
      <c r="F362" t="str">
        <f>"6T48600"</f>
        <v>6T48600</v>
      </c>
      <c r="G362" t="str">
        <f>"8032928152716"</f>
        <v>8032928152716</v>
      </c>
      <c r="H362" t="str">
        <f t="shared" si="6"/>
        <v>Normal</v>
      </c>
      <c r="I362">
        <v>361</v>
      </c>
      <c r="J362" t="s">
        <v>702</v>
      </c>
      <c r="K362" t="s">
        <v>703</v>
      </c>
    </row>
    <row r="363" spans="1:11">
      <c r="A363" t="s">
        <v>467</v>
      </c>
      <c r="B363">
        <v>480</v>
      </c>
      <c r="C363" t="s">
        <v>128</v>
      </c>
      <c r="D363" t="str">
        <f>"6T48601"</f>
        <v>6T48601</v>
      </c>
      <c r="E363" t="str">
        <f>"6T48601"</f>
        <v>6T48601</v>
      </c>
      <c r="F363" t="str">
        <f>"6T48601"</f>
        <v>6T48601</v>
      </c>
      <c r="G363" t="str">
        <f>"8032928152723"</f>
        <v>8032928152723</v>
      </c>
      <c r="H363" t="str">
        <f t="shared" si="6"/>
        <v>Normal</v>
      </c>
      <c r="I363">
        <v>362</v>
      </c>
      <c r="J363" t="s">
        <v>704</v>
      </c>
      <c r="K363" t="s">
        <v>705</v>
      </c>
    </row>
    <row r="364" spans="1:11">
      <c r="A364" t="s">
        <v>467</v>
      </c>
      <c r="B364">
        <v>480</v>
      </c>
      <c r="C364" t="s">
        <v>128</v>
      </c>
      <c r="D364" t="str">
        <f>"6T48602"</f>
        <v>6T48602</v>
      </c>
      <c r="E364" t="str">
        <f>"6T48602"</f>
        <v>6T48602</v>
      </c>
      <c r="F364" t="str">
        <f>"6T48602"</f>
        <v>6T48602</v>
      </c>
      <c r="G364" t="str">
        <f>"8032928152730"</f>
        <v>8032928152730</v>
      </c>
      <c r="H364" t="str">
        <f t="shared" si="6"/>
        <v>Normal</v>
      </c>
      <c r="I364">
        <v>363</v>
      </c>
      <c r="J364" t="s">
        <v>706</v>
      </c>
      <c r="K364" t="s">
        <v>707</v>
      </c>
    </row>
    <row r="365" spans="1:11">
      <c r="A365" t="s">
        <v>467</v>
      </c>
      <c r="B365">
        <v>480</v>
      </c>
      <c r="C365" t="s">
        <v>128</v>
      </c>
      <c r="D365" t="str">
        <f>"6T48603"</f>
        <v>6T48603</v>
      </c>
      <c r="E365" t="str">
        <f>"6T48603"</f>
        <v>6T48603</v>
      </c>
      <c r="F365" t="str">
        <f>"6T48603"</f>
        <v>6T48603</v>
      </c>
      <c r="G365" t="str">
        <f>"8032928152747"</f>
        <v>8032928152747</v>
      </c>
      <c r="H365" t="str">
        <f t="shared" si="6"/>
        <v>Normal</v>
      </c>
      <c r="I365">
        <v>364</v>
      </c>
      <c r="J365" t="s">
        <v>708</v>
      </c>
      <c r="K365" t="s">
        <v>709</v>
      </c>
    </row>
    <row r="366" spans="1:11">
      <c r="A366" t="s">
        <v>467</v>
      </c>
      <c r="B366">
        <v>480</v>
      </c>
      <c r="C366" t="s">
        <v>128</v>
      </c>
      <c r="D366" t="str">
        <f>"6T48604"</f>
        <v>6T48604</v>
      </c>
      <c r="E366" t="str">
        <f>"6T48604"</f>
        <v>6T48604</v>
      </c>
      <c r="F366" t="str">
        <f>"6T48604"</f>
        <v>6T48604</v>
      </c>
      <c r="G366" t="str">
        <f>"8032928152754"</f>
        <v>8032928152754</v>
      </c>
      <c r="H366" t="str">
        <f t="shared" si="6"/>
        <v>Normal</v>
      </c>
      <c r="I366">
        <v>365</v>
      </c>
      <c r="J366" t="s">
        <v>710</v>
      </c>
      <c r="K366" t="s">
        <v>711</v>
      </c>
    </row>
    <row r="367" spans="1:11">
      <c r="A367" t="s">
        <v>467</v>
      </c>
      <c r="B367">
        <v>480</v>
      </c>
      <c r="C367" t="s">
        <v>128</v>
      </c>
      <c r="D367" t="str">
        <f>"6T48605"</f>
        <v>6T48605</v>
      </c>
      <c r="E367" t="str">
        <f>"6T48605"</f>
        <v>6T48605</v>
      </c>
      <c r="F367" t="str">
        <f>"6T48605"</f>
        <v>6T48605</v>
      </c>
      <c r="G367" t="str">
        <f>"8032928152761"</f>
        <v>8032928152761</v>
      </c>
      <c r="H367" t="str">
        <f t="shared" si="6"/>
        <v>Normal</v>
      </c>
      <c r="I367">
        <v>366</v>
      </c>
      <c r="J367" t="s">
        <v>712</v>
      </c>
      <c r="K367" t="s">
        <v>713</v>
      </c>
    </row>
    <row r="368" spans="1:11">
      <c r="A368" t="s">
        <v>467</v>
      </c>
      <c r="B368">
        <v>480</v>
      </c>
      <c r="C368" t="s">
        <v>128</v>
      </c>
      <c r="D368" t="str">
        <f>"6T48606"</f>
        <v>6T48606</v>
      </c>
      <c r="E368" t="str">
        <f>"6T48606"</f>
        <v>6T48606</v>
      </c>
      <c r="F368" t="str">
        <f>"6T48606"</f>
        <v>6T48606</v>
      </c>
      <c r="G368" t="str">
        <f>"8032928152778"</f>
        <v>8032928152778</v>
      </c>
      <c r="H368" t="str">
        <f t="shared" si="6"/>
        <v>Normal</v>
      </c>
      <c r="I368">
        <v>367</v>
      </c>
      <c r="J368" t="s">
        <v>714</v>
      </c>
      <c r="K368" t="s">
        <v>715</v>
      </c>
    </row>
    <row r="369" spans="1:11">
      <c r="A369" t="s">
        <v>467</v>
      </c>
      <c r="B369">
        <v>480</v>
      </c>
      <c r="C369" t="s">
        <v>128</v>
      </c>
      <c r="D369" t="str">
        <f>"6T48607"</f>
        <v>6T48607</v>
      </c>
      <c r="E369" t="str">
        <f>"6T48607"</f>
        <v>6T48607</v>
      </c>
      <c r="F369" t="str">
        <f>"6T48607"</f>
        <v>6T48607</v>
      </c>
      <c r="G369" t="str">
        <f>"8032928152785"</f>
        <v>8032928152785</v>
      </c>
      <c r="H369" t="str">
        <f t="shared" si="6"/>
        <v>Normal</v>
      </c>
      <c r="I369">
        <v>368</v>
      </c>
      <c r="J369" t="s">
        <v>716</v>
      </c>
      <c r="K369" t="s">
        <v>717</v>
      </c>
    </row>
    <row r="370" spans="1:11">
      <c r="A370" t="s">
        <v>467</v>
      </c>
      <c r="B370">
        <v>480</v>
      </c>
      <c r="C370" t="s">
        <v>128</v>
      </c>
      <c r="D370" t="str">
        <f>"6T48608"</f>
        <v>6T48608</v>
      </c>
      <c r="E370" t="str">
        <f>"6T48608"</f>
        <v>6T48608</v>
      </c>
      <c r="F370" t="str">
        <f>"6T48608"</f>
        <v>6T48608</v>
      </c>
      <c r="G370" t="str">
        <f>"8032928152792"</f>
        <v>8032928152792</v>
      </c>
      <c r="H370" t="str">
        <f t="shared" si="6"/>
        <v>Normal</v>
      </c>
      <c r="I370">
        <v>369</v>
      </c>
      <c r="J370" t="s">
        <v>718</v>
      </c>
      <c r="K370" t="s">
        <v>719</v>
      </c>
    </row>
    <row r="371" spans="1:11">
      <c r="A371" t="s">
        <v>467</v>
      </c>
      <c r="B371">
        <v>480</v>
      </c>
      <c r="C371" t="s">
        <v>128</v>
      </c>
      <c r="D371" t="str">
        <f>"6T48609"</f>
        <v>6T48609</v>
      </c>
      <c r="E371" t="str">
        <f>"6T48609"</f>
        <v>6T48609</v>
      </c>
      <c r="F371" t="str">
        <f>"6T48609"</f>
        <v>6T48609</v>
      </c>
      <c r="G371" t="str">
        <f>"8032928152808"</f>
        <v>8032928152808</v>
      </c>
      <c r="H371" t="str">
        <f t="shared" si="6"/>
        <v>Normal</v>
      </c>
      <c r="I371">
        <v>370</v>
      </c>
      <c r="J371" t="s">
        <v>720</v>
      </c>
      <c r="K371" s="1" t="s">
        <v>721</v>
      </c>
    </row>
    <row r="372" spans="1:11">
      <c r="A372" t="s">
        <v>467</v>
      </c>
      <c r="B372">
        <v>480</v>
      </c>
      <c r="C372" t="s">
        <v>128</v>
      </c>
      <c r="D372" t="str">
        <f>"6T48610"</f>
        <v>6T48610</v>
      </c>
      <c r="E372" t="str">
        <f>"6T48610"</f>
        <v>6T48610</v>
      </c>
      <c r="F372" t="str">
        <f>"6T48610"</f>
        <v>6T48610</v>
      </c>
      <c r="G372" t="str">
        <f>"8032928152815"</f>
        <v>8032928152815</v>
      </c>
      <c r="H372" t="str">
        <f t="shared" si="6"/>
        <v>Normal</v>
      </c>
      <c r="I372">
        <v>371</v>
      </c>
      <c r="J372" t="s">
        <v>722</v>
      </c>
      <c r="K372" s="1" t="s">
        <v>723</v>
      </c>
    </row>
    <row r="373" spans="1:11">
      <c r="A373" t="s">
        <v>467</v>
      </c>
      <c r="B373">
        <v>480</v>
      </c>
      <c r="C373" t="s">
        <v>128</v>
      </c>
      <c r="D373" t="str">
        <f>"6T48611"</f>
        <v>6T48611</v>
      </c>
      <c r="E373" t="str">
        <f>"6T48611"</f>
        <v>6T48611</v>
      </c>
      <c r="F373" t="str">
        <f>"6T48611"</f>
        <v>6T48611</v>
      </c>
      <c r="G373" t="str">
        <f>"8032928152822"</f>
        <v>8032928152822</v>
      </c>
      <c r="H373" t="str">
        <f t="shared" si="6"/>
        <v>Normal</v>
      </c>
      <c r="I373">
        <v>372</v>
      </c>
      <c r="J373" t="s">
        <v>724</v>
      </c>
      <c r="K373" t="s">
        <v>725</v>
      </c>
    </row>
    <row r="374" spans="1:11">
      <c r="A374" t="s">
        <v>467</v>
      </c>
      <c r="B374">
        <v>480</v>
      </c>
      <c r="C374" t="s">
        <v>128</v>
      </c>
      <c r="D374" t="str">
        <f>"6T48612"</f>
        <v>6T48612</v>
      </c>
      <c r="E374" t="str">
        <f>"6T48612"</f>
        <v>6T48612</v>
      </c>
      <c r="F374" t="str">
        <f>"6T48612"</f>
        <v>6T48612</v>
      </c>
      <c r="G374" t="str">
        <f>"8032928152839"</f>
        <v>8032928152839</v>
      </c>
      <c r="H374" t="str">
        <f t="shared" si="6"/>
        <v>Normal</v>
      </c>
      <c r="I374">
        <v>373</v>
      </c>
      <c r="J374" t="s">
        <v>726</v>
      </c>
      <c r="K374" t="s">
        <v>727</v>
      </c>
    </row>
    <row r="375" spans="1:11">
      <c r="A375" t="s">
        <v>467</v>
      </c>
      <c r="B375">
        <v>480</v>
      </c>
      <c r="C375" t="s">
        <v>128</v>
      </c>
      <c r="D375" t="str">
        <f>"6T48613"</f>
        <v>6T48613</v>
      </c>
      <c r="E375" t="str">
        <f>"6T48613"</f>
        <v>6T48613</v>
      </c>
      <c r="F375" t="str">
        <f>"6T48613"</f>
        <v>6T48613</v>
      </c>
      <c r="G375" t="str">
        <f>"8032928152846"</f>
        <v>8032928152846</v>
      </c>
      <c r="H375" t="str">
        <f t="shared" si="6"/>
        <v>Normal</v>
      </c>
      <c r="I375">
        <v>374</v>
      </c>
      <c r="J375" t="s">
        <v>728</v>
      </c>
      <c r="K375" t="s">
        <v>729</v>
      </c>
    </row>
    <row r="376" spans="1:11">
      <c r="A376" t="s">
        <v>467</v>
      </c>
      <c r="B376">
        <v>480</v>
      </c>
      <c r="C376" t="s">
        <v>128</v>
      </c>
      <c r="D376" t="str">
        <f>"6T48614"</f>
        <v>6T48614</v>
      </c>
      <c r="E376" t="str">
        <f>"6T48614"</f>
        <v>6T48614</v>
      </c>
      <c r="F376" t="str">
        <f>"6T48614"</f>
        <v>6T48614</v>
      </c>
      <c r="G376" t="str">
        <f>"8032928152853"</f>
        <v>8032928152853</v>
      </c>
      <c r="H376" t="str">
        <f t="shared" si="6"/>
        <v>Normal</v>
      </c>
      <c r="I376">
        <v>375</v>
      </c>
      <c r="J376" t="s">
        <v>730</v>
      </c>
      <c r="K376" t="s">
        <v>731</v>
      </c>
    </row>
    <row r="377" spans="1:11">
      <c r="A377" t="s">
        <v>467</v>
      </c>
      <c r="B377">
        <v>480</v>
      </c>
      <c r="C377" t="s">
        <v>128</v>
      </c>
      <c r="D377" t="str">
        <f>"6T48615"</f>
        <v>6T48615</v>
      </c>
      <c r="E377" t="str">
        <f>"6T48615"</f>
        <v>6T48615</v>
      </c>
      <c r="F377" t="str">
        <f>"6T48615"</f>
        <v>6T48615</v>
      </c>
      <c r="G377" t="str">
        <f>"8032928152860"</f>
        <v>8032928152860</v>
      </c>
      <c r="H377" t="str">
        <f t="shared" si="6"/>
        <v>Normal</v>
      </c>
      <c r="I377">
        <v>376</v>
      </c>
      <c r="J377" t="s">
        <v>732</v>
      </c>
      <c r="K377" t="s">
        <v>733</v>
      </c>
    </row>
    <row r="378" spans="1:11">
      <c r="A378" t="s">
        <v>467</v>
      </c>
      <c r="B378">
        <v>480</v>
      </c>
      <c r="C378" t="s">
        <v>128</v>
      </c>
      <c r="D378" t="str">
        <f>"6T48616"</f>
        <v>6T48616</v>
      </c>
      <c r="E378" t="str">
        <f>"6T48616"</f>
        <v>6T48616</v>
      </c>
      <c r="F378" t="str">
        <f>"6T48616"</f>
        <v>6T48616</v>
      </c>
      <c r="G378" t="str">
        <f>"8032928152877"</f>
        <v>8032928152877</v>
      </c>
      <c r="H378" t="str">
        <f t="shared" si="6"/>
        <v>Normal</v>
      </c>
      <c r="I378">
        <v>377</v>
      </c>
      <c r="J378" t="s">
        <v>734</v>
      </c>
      <c r="K378" t="s">
        <v>735</v>
      </c>
    </row>
    <row r="379" spans="1:11">
      <c r="A379" t="s">
        <v>467</v>
      </c>
      <c r="B379">
        <v>480</v>
      </c>
      <c r="C379" t="s">
        <v>128</v>
      </c>
      <c r="D379" t="str">
        <f>"6T48617"</f>
        <v>6T48617</v>
      </c>
      <c r="E379" t="str">
        <f>"6T48617"</f>
        <v>6T48617</v>
      </c>
      <c r="F379" t="str">
        <f>"6T48617"</f>
        <v>6T48617</v>
      </c>
      <c r="G379" t="str">
        <f>"8032928152884"</f>
        <v>8032928152884</v>
      </c>
      <c r="H379" t="str">
        <f t="shared" si="6"/>
        <v>Normal</v>
      </c>
      <c r="I379">
        <v>378</v>
      </c>
      <c r="J379" t="s">
        <v>736</v>
      </c>
      <c r="K379" t="s">
        <v>737</v>
      </c>
    </row>
    <row r="380" spans="1:11">
      <c r="A380" t="s">
        <v>467</v>
      </c>
      <c r="B380">
        <v>480</v>
      </c>
      <c r="C380" t="s">
        <v>128</v>
      </c>
      <c r="D380" t="str">
        <f>"6T48618"</f>
        <v>6T48618</v>
      </c>
      <c r="E380" t="str">
        <f>"6T48618"</f>
        <v>6T48618</v>
      </c>
      <c r="F380" t="str">
        <f>"6T48618"</f>
        <v>6T48618</v>
      </c>
      <c r="G380" t="str">
        <f>"8032928152891"</f>
        <v>8032928152891</v>
      </c>
      <c r="H380" t="str">
        <f t="shared" si="6"/>
        <v>Normal</v>
      </c>
      <c r="I380">
        <v>379</v>
      </c>
      <c r="J380" t="s">
        <v>738</v>
      </c>
      <c r="K380" t="s">
        <v>739</v>
      </c>
    </row>
    <row r="381" spans="1:11">
      <c r="A381" t="s">
        <v>467</v>
      </c>
      <c r="B381">
        <v>480</v>
      </c>
      <c r="C381" t="s">
        <v>128</v>
      </c>
      <c r="D381" t="str">
        <f>"6T48619"</f>
        <v>6T48619</v>
      </c>
      <c r="E381" t="str">
        <f>"6T48619"</f>
        <v>6T48619</v>
      </c>
      <c r="F381" t="str">
        <f>"6T48619"</f>
        <v>6T48619</v>
      </c>
      <c r="G381" t="str">
        <f>"8032928152907"</f>
        <v>8032928152907</v>
      </c>
      <c r="H381" t="str">
        <f t="shared" si="6"/>
        <v>Normal</v>
      </c>
      <c r="I381">
        <v>380</v>
      </c>
      <c r="J381" t="s">
        <v>740</v>
      </c>
      <c r="K381" t="s">
        <v>741</v>
      </c>
    </row>
    <row r="382" spans="1:11">
      <c r="A382" t="s">
        <v>467</v>
      </c>
      <c r="B382">
        <v>480</v>
      </c>
      <c r="C382" t="s">
        <v>128</v>
      </c>
      <c r="D382" t="str">
        <f>"6T48620"</f>
        <v>6T48620</v>
      </c>
      <c r="E382" t="str">
        <f>"6T48620"</f>
        <v>6T48620</v>
      </c>
      <c r="F382" t="str">
        <f>"6T48620"</f>
        <v>6T48620</v>
      </c>
      <c r="G382" t="str">
        <f>"8032928152914"</f>
        <v>8032928152914</v>
      </c>
      <c r="H382" t="str">
        <f t="shared" si="6"/>
        <v>Normal</v>
      </c>
      <c r="I382">
        <v>381</v>
      </c>
      <c r="J382" t="s">
        <v>742</v>
      </c>
      <c r="K382" t="s">
        <v>743</v>
      </c>
    </row>
    <row r="383" spans="1:11">
      <c r="A383" t="s">
        <v>744</v>
      </c>
      <c r="B383">
        <v>480</v>
      </c>
      <c r="C383" t="s">
        <v>128</v>
      </c>
      <c r="D383" t="str">
        <f>"AA10328"</f>
        <v>AA10328</v>
      </c>
      <c r="E383" t="str">
        <f>"AA10328"</f>
        <v>AA10328</v>
      </c>
      <c r="F383" t="str">
        <f>"AA10328"</f>
        <v>AA10328</v>
      </c>
      <c r="G383" t="str">
        <f>"8032928149211"</f>
        <v>8032928149211</v>
      </c>
      <c r="H383" t="str">
        <f t="shared" si="6"/>
        <v>Normal</v>
      </c>
      <c r="I383">
        <v>382</v>
      </c>
      <c r="J383" t="s">
        <v>745</v>
      </c>
      <c r="K383" s="1" t="s">
        <v>746</v>
      </c>
    </row>
    <row r="384" spans="1:11">
      <c r="A384" t="s">
        <v>747</v>
      </c>
      <c r="B384">
        <v>480</v>
      </c>
      <c r="C384" t="s">
        <v>128</v>
      </c>
      <c r="D384" t="str">
        <f>"AA10329"</f>
        <v>AA10329</v>
      </c>
      <c r="E384" t="str">
        <f>"AA10329"</f>
        <v>AA10329</v>
      </c>
      <c r="F384" t="str">
        <f>"AA10329"</f>
        <v>AA10329</v>
      </c>
      <c r="G384" t="str">
        <f>"8032928149228"</f>
        <v>8032928149228</v>
      </c>
      <c r="H384" t="str">
        <f t="shared" si="6"/>
        <v>Normal</v>
      </c>
      <c r="I384">
        <v>383</v>
      </c>
      <c r="J384" t="s">
        <v>748</v>
      </c>
      <c r="K384" s="1" t="s">
        <v>749</v>
      </c>
    </row>
    <row r="385" spans="1:11">
      <c r="A385" t="s">
        <v>750</v>
      </c>
      <c r="B385">
        <v>480</v>
      </c>
      <c r="C385" t="s">
        <v>128</v>
      </c>
      <c r="D385" t="str">
        <f>"AA10330"</f>
        <v>AA10330</v>
      </c>
      <c r="E385" t="str">
        <f>"AA10330"</f>
        <v>AA10330</v>
      </c>
      <c r="F385" t="str">
        <f>"AA10330"</f>
        <v>AA10330</v>
      </c>
      <c r="G385" t="str">
        <f>"8032928149235"</f>
        <v>8032928149235</v>
      </c>
      <c r="H385" t="str">
        <f t="shared" si="6"/>
        <v>Normal</v>
      </c>
      <c r="I385">
        <v>384</v>
      </c>
      <c r="J385" t="s">
        <v>751</v>
      </c>
      <c r="K385" t="s">
        <v>752</v>
      </c>
    </row>
    <row r="386" spans="1:11">
      <c r="A386" t="s">
        <v>750</v>
      </c>
      <c r="B386">
        <v>480</v>
      </c>
      <c r="C386" t="s">
        <v>128</v>
      </c>
      <c r="D386" t="str">
        <f>"AA10331"</f>
        <v>AA10331</v>
      </c>
      <c r="E386" t="str">
        <f>"AA10331"</f>
        <v>AA10331</v>
      </c>
      <c r="F386" t="str">
        <f>"AA10331"</f>
        <v>AA10331</v>
      </c>
      <c r="G386" t="str">
        <f>"8032928149242"</f>
        <v>8032928149242</v>
      </c>
      <c r="H386" t="str">
        <f t="shared" si="6"/>
        <v>Normal</v>
      </c>
      <c r="I386">
        <v>385</v>
      </c>
      <c r="J386" t="s">
        <v>753</v>
      </c>
      <c r="K386" t="s">
        <v>754</v>
      </c>
    </row>
    <row r="387" spans="1:11">
      <c r="A387" t="s">
        <v>750</v>
      </c>
      <c r="B387">
        <v>480</v>
      </c>
      <c r="C387" t="s">
        <v>128</v>
      </c>
      <c r="D387" t="str">
        <f>"AA10332"</f>
        <v>AA10332</v>
      </c>
      <c r="E387" t="str">
        <f>"AA10332"</f>
        <v>AA10332</v>
      </c>
      <c r="F387" t="str">
        <f>"AA10332"</f>
        <v>AA10332</v>
      </c>
      <c r="G387" t="str">
        <f>"8032928149259"</f>
        <v>8032928149259</v>
      </c>
      <c r="H387" t="str">
        <f t="shared" si="6"/>
        <v>Normal</v>
      </c>
      <c r="I387">
        <v>386</v>
      </c>
      <c r="J387" t="s">
        <v>755</v>
      </c>
      <c r="K387" t="s">
        <v>756</v>
      </c>
    </row>
    <row r="388" spans="1:11">
      <c r="A388" t="s">
        <v>750</v>
      </c>
      <c r="B388">
        <v>480</v>
      </c>
      <c r="C388" t="s">
        <v>128</v>
      </c>
      <c r="D388" t="str">
        <f>"AA10333"</f>
        <v>AA10333</v>
      </c>
      <c r="E388" t="str">
        <f>"AA10333"</f>
        <v>AA10333</v>
      </c>
      <c r="F388" t="str">
        <f>"AA10333"</f>
        <v>AA10333</v>
      </c>
      <c r="G388" t="str">
        <f>"8032928149266"</f>
        <v>8032928149266</v>
      </c>
      <c r="H388" t="str">
        <f t="shared" si="6"/>
        <v>Normal</v>
      </c>
      <c r="I388">
        <v>387</v>
      </c>
      <c r="J388" t="s">
        <v>757</v>
      </c>
      <c r="K388" t="s">
        <v>758</v>
      </c>
    </row>
    <row r="389" spans="1:11">
      <c r="A389" t="s">
        <v>750</v>
      </c>
      <c r="B389">
        <v>480</v>
      </c>
      <c r="C389" t="s">
        <v>128</v>
      </c>
      <c r="D389" t="str">
        <f>"AA10334"</f>
        <v>AA10334</v>
      </c>
      <c r="E389" t="str">
        <f>"AA10334"</f>
        <v>AA10334</v>
      </c>
      <c r="F389" t="str">
        <f>"AA10334"</f>
        <v>AA10334</v>
      </c>
      <c r="G389" t="str">
        <f>"8032928149273"</f>
        <v>8032928149273</v>
      </c>
      <c r="H389" t="str">
        <f t="shared" si="6"/>
        <v>Normal</v>
      </c>
      <c r="I389">
        <v>388</v>
      </c>
      <c r="J389" t="s">
        <v>759</v>
      </c>
      <c r="K389" s="1" t="s">
        <v>760</v>
      </c>
    </row>
    <row r="390" spans="1:11">
      <c r="A390" t="s">
        <v>761</v>
      </c>
      <c r="B390">
        <v>480</v>
      </c>
      <c r="C390" t="s">
        <v>128</v>
      </c>
      <c r="D390" t="str">
        <f>"AA10335"</f>
        <v>AA10335</v>
      </c>
      <c r="E390" t="str">
        <f>"AA10335"</f>
        <v>AA10335</v>
      </c>
      <c r="F390" t="str">
        <f>"AA10335"</f>
        <v>AA10335</v>
      </c>
      <c r="G390" t="str">
        <f>"8032928149280"</f>
        <v>8032928149280</v>
      </c>
      <c r="H390" t="str">
        <f t="shared" si="6"/>
        <v>Normal</v>
      </c>
      <c r="I390">
        <v>389</v>
      </c>
      <c r="J390" t="s">
        <v>762</v>
      </c>
      <c r="K390" s="1" t="s">
        <v>763</v>
      </c>
    </row>
    <row r="391" spans="1:11">
      <c r="A391" t="s">
        <v>750</v>
      </c>
      <c r="B391">
        <v>480</v>
      </c>
      <c r="C391" t="s">
        <v>128</v>
      </c>
      <c r="D391" t="str">
        <f>"AA10336"</f>
        <v>AA10336</v>
      </c>
      <c r="E391" t="str">
        <f>"AA10336"</f>
        <v>AA10336</v>
      </c>
      <c r="F391" t="str">
        <f>"AA10336"</f>
        <v>AA10336</v>
      </c>
      <c r="G391" t="str">
        <f>"8032928149297"</f>
        <v>8032928149297</v>
      </c>
      <c r="H391" t="str">
        <f t="shared" si="6"/>
        <v>Normal</v>
      </c>
      <c r="I391">
        <v>390</v>
      </c>
      <c r="J391" t="s">
        <v>764</v>
      </c>
      <c r="K391" s="1" t="s">
        <v>765</v>
      </c>
    </row>
    <row r="392" spans="1:11">
      <c r="A392" t="s">
        <v>766</v>
      </c>
      <c r="B392">
        <v>480</v>
      </c>
      <c r="C392" t="s">
        <v>128</v>
      </c>
      <c r="D392" t="str">
        <f>"AA10337"</f>
        <v>AA10337</v>
      </c>
      <c r="E392" t="str">
        <f>"AA10337"</f>
        <v>AA10337</v>
      </c>
      <c r="F392" t="str">
        <f>"AA10337"</f>
        <v>AA10337</v>
      </c>
      <c r="G392" t="str">
        <f>"8032928149303"</f>
        <v>8032928149303</v>
      </c>
      <c r="H392" t="str">
        <f t="shared" si="6"/>
        <v>Normal</v>
      </c>
      <c r="I392">
        <v>391</v>
      </c>
      <c r="J392" t="s">
        <v>767</v>
      </c>
      <c r="K392" s="1" t="s">
        <v>768</v>
      </c>
    </row>
    <row r="393" spans="1:11">
      <c r="A393" t="s">
        <v>766</v>
      </c>
      <c r="B393">
        <v>480</v>
      </c>
      <c r="C393" t="s">
        <v>128</v>
      </c>
      <c r="D393" t="str">
        <f>"AA10338"</f>
        <v>AA10338</v>
      </c>
      <c r="E393" t="str">
        <f>"AA10338"</f>
        <v>AA10338</v>
      </c>
      <c r="F393" t="str">
        <f>"AA10338"</f>
        <v>AA10338</v>
      </c>
      <c r="G393" t="str">
        <f>"8032928149310"</f>
        <v>8032928149310</v>
      </c>
      <c r="H393" t="str">
        <f t="shared" si="6"/>
        <v>Normal</v>
      </c>
      <c r="I393">
        <v>392</v>
      </c>
      <c r="J393" t="s">
        <v>769</v>
      </c>
      <c r="K393" s="1" t="s">
        <v>770</v>
      </c>
    </row>
    <row r="394" spans="1:11">
      <c r="A394" t="s">
        <v>750</v>
      </c>
      <c r="B394">
        <v>480</v>
      </c>
      <c r="C394" t="s">
        <v>128</v>
      </c>
      <c r="D394" t="str">
        <f>"AA10339"</f>
        <v>AA10339</v>
      </c>
      <c r="E394" t="str">
        <f>"AA10339"</f>
        <v>AA10339</v>
      </c>
      <c r="F394" t="str">
        <f>"AA10339"</f>
        <v>AA10339</v>
      </c>
      <c r="G394" t="str">
        <f>"8032928149327"</f>
        <v>8032928149327</v>
      </c>
      <c r="H394" t="str">
        <f t="shared" si="6"/>
        <v>Normal</v>
      </c>
      <c r="I394">
        <v>393</v>
      </c>
      <c r="J394" t="s">
        <v>771</v>
      </c>
      <c r="K394" s="1" t="s">
        <v>772</v>
      </c>
    </row>
    <row r="395" spans="1:11">
      <c r="A395" t="s">
        <v>744</v>
      </c>
      <c r="B395">
        <v>480</v>
      </c>
      <c r="C395" t="s">
        <v>128</v>
      </c>
      <c r="D395" t="str">
        <f>"AA10340"</f>
        <v>AA10340</v>
      </c>
      <c r="E395" t="str">
        <f>"AA10340"</f>
        <v>AA10340</v>
      </c>
      <c r="F395" t="str">
        <f>"AA10340"</f>
        <v>AA10340</v>
      </c>
      <c r="G395" t="str">
        <f>"8032928149334"</f>
        <v>8032928149334</v>
      </c>
      <c r="H395" t="str">
        <f t="shared" si="6"/>
        <v>Normal</v>
      </c>
      <c r="I395">
        <v>394</v>
      </c>
      <c r="J395" t="s">
        <v>773</v>
      </c>
      <c r="K395" s="1" t="s">
        <v>774</v>
      </c>
    </row>
    <row r="396" spans="1:11">
      <c r="A396" t="s">
        <v>750</v>
      </c>
      <c r="B396">
        <v>480</v>
      </c>
      <c r="C396" t="s">
        <v>128</v>
      </c>
      <c r="D396" t="str">
        <f>"AA10341"</f>
        <v>AA10341</v>
      </c>
      <c r="E396" t="str">
        <f>"AA10341"</f>
        <v>AA10341</v>
      </c>
      <c r="F396" t="str">
        <f>"AA10341"</f>
        <v>AA10341</v>
      </c>
      <c r="G396" t="str">
        <f>"8032928149341"</f>
        <v>8032928149341</v>
      </c>
      <c r="H396" t="str">
        <f t="shared" si="6"/>
        <v>Normal</v>
      </c>
      <c r="I396">
        <v>395</v>
      </c>
      <c r="J396" t="s">
        <v>775</v>
      </c>
      <c r="K396" s="1" t="s">
        <v>776</v>
      </c>
    </row>
    <row r="397" spans="1:11">
      <c r="A397" t="s">
        <v>744</v>
      </c>
      <c r="B397">
        <v>480</v>
      </c>
      <c r="C397" t="s">
        <v>128</v>
      </c>
      <c r="D397" t="str">
        <f>"AA10342"</f>
        <v>AA10342</v>
      </c>
      <c r="E397" t="str">
        <f>"AA10342"</f>
        <v>AA10342</v>
      </c>
      <c r="F397" t="str">
        <f>"AA10342"</f>
        <v>AA10342</v>
      </c>
      <c r="G397" t="str">
        <f>"8032928149358"</f>
        <v>8032928149358</v>
      </c>
      <c r="H397" t="str">
        <f t="shared" si="6"/>
        <v>Normal</v>
      </c>
      <c r="I397">
        <v>396</v>
      </c>
      <c r="J397" t="s">
        <v>777</v>
      </c>
      <c r="K397" s="1" t="s">
        <v>778</v>
      </c>
    </row>
    <row r="398" spans="1:11">
      <c r="A398" t="s">
        <v>779</v>
      </c>
      <c r="B398">
        <v>480</v>
      </c>
      <c r="C398" t="s">
        <v>128</v>
      </c>
      <c r="D398" t="str">
        <f>"AA10343"</f>
        <v>AA10343</v>
      </c>
      <c r="E398" t="str">
        <f>"AA10343"</f>
        <v>AA10343</v>
      </c>
      <c r="F398" t="str">
        <f>"AA10343"</f>
        <v>AA10343</v>
      </c>
      <c r="G398" t="str">
        <f>"8032928149365"</f>
        <v>8032928149365</v>
      </c>
      <c r="H398" t="str">
        <f t="shared" si="6"/>
        <v>Normal</v>
      </c>
      <c r="I398">
        <v>397</v>
      </c>
      <c r="J398" t="s">
        <v>780</v>
      </c>
      <c r="K398" t="s">
        <v>781</v>
      </c>
    </row>
    <row r="399" spans="1:11">
      <c r="A399" t="s">
        <v>747</v>
      </c>
      <c r="B399">
        <v>480</v>
      </c>
      <c r="C399" t="s">
        <v>128</v>
      </c>
      <c r="D399" t="str">
        <f>"AA10344"</f>
        <v>AA10344</v>
      </c>
      <c r="E399" t="str">
        <f>"AA10344"</f>
        <v>AA10344</v>
      </c>
      <c r="F399" t="str">
        <f>"AA10344"</f>
        <v>AA10344</v>
      </c>
      <c r="G399" t="str">
        <f>"8032928149372"</f>
        <v>8032928149372</v>
      </c>
      <c r="H399" t="str">
        <f t="shared" si="6"/>
        <v>Normal</v>
      </c>
      <c r="I399">
        <v>398</v>
      </c>
      <c r="J399" t="s">
        <v>782</v>
      </c>
      <c r="K399" t="s">
        <v>783</v>
      </c>
    </row>
    <row r="400" spans="1:11">
      <c r="A400" t="s">
        <v>750</v>
      </c>
      <c r="B400">
        <v>480</v>
      </c>
      <c r="C400" t="s">
        <v>128</v>
      </c>
      <c r="D400" t="str">
        <f>"AA10345"</f>
        <v>AA10345</v>
      </c>
      <c r="E400" t="str">
        <f>"AA10345"</f>
        <v>AA10345</v>
      </c>
      <c r="F400" t="str">
        <f>"AA10345"</f>
        <v>AA10345</v>
      </c>
      <c r="G400" t="str">
        <f>"8032928149389"</f>
        <v>8032928149389</v>
      </c>
      <c r="H400" t="str">
        <f t="shared" si="6"/>
        <v>Normal</v>
      </c>
      <c r="I400">
        <v>399</v>
      </c>
      <c r="J400" t="s">
        <v>784</v>
      </c>
      <c r="K400" s="1" t="s">
        <v>785</v>
      </c>
    </row>
    <row r="401" spans="1:11">
      <c r="A401" t="s">
        <v>747</v>
      </c>
      <c r="B401">
        <v>480</v>
      </c>
      <c r="C401" t="s">
        <v>128</v>
      </c>
      <c r="D401" t="str">
        <f>"AA10346"</f>
        <v>AA10346</v>
      </c>
      <c r="E401" t="str">
        <f>"AA10346"</f>
        <v>AA10346</v>
      </c>
      <c r="F401" t="str">
        <f>"AA10346"</f>
        <v>AA10346</v>
      </c>
      <c r="G401" t="str">
        <f>"8032928149396"</f>
        <v>8032928149396</v>
      </c>
      <c r="H401" t="str">
        <f t="shared" si="6"/>
        <v>Normal</v>
      </c>
      <c r="I401">
        <v>400</v>
      </c>
      <c r="J401" t="s">
        <v>786</v>
      </c>
      <c r="K401" t="s">
        <v>787</v>
      </c>
    </row>
    <row r="402" spans="1:11">
      <c r="A402" t="s">
        <v>747</v>
      </c>
      <c r="B402">
        <v>480</v>
      </c>
      <c r="C402" t="s">
        <v>128</v>
      </c>
      <c r="D402" t="str">
        <f>"AA10347"</f>
        <v>AA10347</v>
      </c>
      <c r="E402" t="str">
        <f>"AA10347"</f>
        <v>AA10347</v>
      </c>
      <c r="F402" t="str">
        <f>"AA10347"</f>
        <v>AA10347</v>
      </c>
      <c r="G402" t="str">
        <f>"8032928149402"</f>
        <v>8032928149402</v>
      </c>
      <c r="H402" t="str">
        <f t="shared" si="6"/>
        <v>Normal</v>
      </c>
      <c r="I402">
        <v>401</v>
      </c>
      <c r="J402" t="s">
        <v>788</v>
      </c>
      <c r="K402" s="1" t="s">
        <v>789</v>
      </c>
    </row>
    <row r="403" spans="1:11">
      <c r="A403" t="s">
        <v>744</v>
      </c>
      <c r="B403">
        <v>480</v>
      </c>
      <c r="C403" t="s">
        <v>128</v>
      </c>
      <c r="D403" t="str">
        <f>"AA10348"</f>
        <v>AA10348</v>
      </c>
      <c r="E403" t="str">
        <f>"AA10348"</f>
        <v>AA10348</v>
      </c>
      <c r="F403" t="str">
        <f>"AA10348"</f>
        <v>AA10348</v>
      </c>
      <c r="G403" t="str">
        <f>"8032928149419"</f>
        <v>8032928149419</v>
      </c>
      <c r="H403" t="str">
        <f t="shared" si="6"/>
        <v>Normal</v>
      </c>
      <c r="I403">
        <v>402</v>
      </c>
      <c r="J403" t="s">
        <v>790</v>
      </c>
      <c r="K403" s="1" t="s">
        <v>791</v>
      </c>
    </row>
    <row r="404" spans="1:11">
      <c r="A404" t="s">
        <v>766</v>
      </c>
      <c r="B404">
        <v>480</v>
      </c>
      <c r="C404" t="s">
        <v>128</v>
      </c>
      <c r="D404" t="str">
        <f>"AA10349"</f>
        <v>AA10349</v>
      </c>
      <c r="E404" t="str">
        <f>"AA10349"</f>
        <v>AA10349</v>
      </c>
      <c r="F404" t="str">
        <f>"AA10349"</f>
        <v>AA10349</v>
      </c>
      <c r="G404" t="str">
        <f>"8032928149426"</f>
        <v>8032928149426</v>
      </c>
      <c r="H404" t="str">
        <f t="shared" si="6"/>
        <v>Normal</v>
      </c>
      <c r="I404">
        <v>403</v>
      </c>
      <c r="J404" t="s">
        <v>792</v>
      </c>
      <c r="K404" s="1" t="s">
        <v>793</v>
      </c>
    </row>
    <row r="405" spans="1:11">
      <c r="A405" t="s">
        <v>750</v>
      </c>
      <c r="B405">
        <v>480</v>
      </c>
      <c r="C405" t="s">
        <v>128</v>
      </c>
      <c r="D405" t="str">
        <f>"AA10350"</f>
        <v>AA10350</v>
      </c>
      <c r="E405" t="str">
        <f>"AA10350"</f>
        <v>AA10350</v>
      </c>
      <c r="F405" t="str">
        <f>"AA10350"</f>
        <v>AA10350</v>
      </c>
      <c r="G405" t="str">
        <f>"8032928149433"</f>
        <v>8032928149433</v>
      </c>
      <c r="H405" t="str">
        <f t="shared" si="6"/>
        <v>Normal</v>
      </c>
      <c r="I405">
        <v>404</v>
      </c>
      <c r="J405" t="s">
        <v>794</v>
      </c>
      <c r="K405" t="s">
        <v>795</v>
      </c>
    </row>
    <row r="406" spans="1:11">
      <c r="A406" t="s">
        <v>744</v>
      </c>
      <c r="B406">
        <v>480</v>
      </c>
      <c r="C406" t="s">
        <v>128</v>
      </c>
      <c r="D406" t="str">
        <f>"AA10351"</f>
        <v>AA10351</v>
      </c>
      <c r="E406" t="str">
        <f>"AA10351"</f>
        <v>AA10351</v>
      </c>
      <c r="F406" t="str">
        <f>"AA10351"</f>
        <v>AA10351</v>
      </c>
      <c r="G406" t="str">
        <f>"8032928149440"</f>
        <v>8032928149440</v>
      </c>
      <c r="H406" t="str">
        <f t="shared" si="6"/>
        <v>Normal</v>
      </c>
      <c r="I406">
        <v>405</v>
      </c>
      <c r="J406" t="s">
        <v>796</v>
      </c>
      <c r="K406" s="1" t="s">
        <v>797</v>
      </c>
    </row>
    <row r="407" spans="1:11">
      <c r="A407" t="s">
        <v>766</v>
      </c>
      <c r="B407">
        <v>480</v>
      </c>
      <c r="C407" t="s">
        <v>128</v>
      </c>
      <c r="D407" t="str">
        <f>"AA10352"</f>
        <v>AA10352</v>
      </c>
      <c r="E407" t="str">
        <f>"AA10352"</f>
        <v>AA10352</v>
      </c>
      <c r="F407" t="str">
        <f>"AA10352"</f>
        <v>AA10352</v>
      </c>
      <c r="G407" t="str">
        <f>"8032928149457"</f>
        <v>8032928149457</v>
      </c>
      <c r="H407" t="str">
        <f t="shared" si="6"/>
        <v>Normal</v>
      </c>
      <c r="I407">
        <v>406</v>
      </c>
      <c r="J407" t="s">
        <v>798</v>
      </c>
      <c r="K407" s="1" t="s">
        <v>799</v>
      </c>
    </row>
    <row r="408" spans="1:11">
      <c r="A408" t="s">
        <v>766</v>
      </c>
      <c r="B408">
        <v>480</v>
      </c>
      <c r="C408" t="s">
        <v>128</v>
      </c>
      <c r="D408" t="str">
        <f>"AA10353"</f>
        <v>AA10353</v>
      </c>
      <c r="E408" t="str">
        <f>"AA10353"</f>
        <v>AA10353</v>
      </c>
      <c r="F408" t="str">
        <f>"AA10353"</f>
        <v>AA10353</v>
      </c>
      <c r="G408" t="str">
        <f>"8032928149464"</f>
        <v>8032928149464</v>
      </c>
      <c r="H408" t="str">
        <f t="shared" si="6"/>
        <v>Normal</v>
      </c>
      <c r="I408">
        <v>407</v>
      </c>
      <c r="J408" t="s">
        <v>800</v>
      </c>
      <c r="K408" s="1" t="s">
        <v>801</v>
      </c>
    </row>
    <row r="409" spans="1:11">
      <c r="A409" t="s">
        <v>750</v>
      </c>
      <c r="B409">
        <v>480</v>
      </c>
      <c r="C409" t="s">
        <v>128</v>
      </c>
      <c r="D409" t="str">
        <f>"AA10354"</f>
        <v>AA10354</v>
      </c>
      <c r="E409" t="str">
        <f>"AA10354"</f>
        <v>AA10354</v>
      </c>
      <c r="F409" t="str">
        <f>"AA10354"</f>
        <v>AA10354</v>
      </c>
      <c r="G409" t="str">
        <f>"8032928149471"</f>
        <v>8032928149471</v>
      </c>
      <c r="H409" t="str">
        <f t="shared" si="6"/>
        <v>Normal</v>
      </c>
      <c r="I409">
        <v>408</v>
      </c>
      <c r="J409" t="s">
        <v>802</v>
      </c>
      <c r="K409" s="1" t="s">
        <v>803</v>
      </c>
    </row>
    <row r="410" spans="1:11">
      <c r="A410" t="s">
        <v>750</v>
      </c>
      <c r="B410">
        <v>480</v>
      </c>
      <c r="C410" t="s">
        <v>128</v>
      </c>
      <c r="D410" t="str">
        <f>"AA10355"</f>
        <v>AA10355</v>
      </c>
      <c r="E410" t="str">
        <f>"AA10355"</f>
        <v>AA10355</v>
      </c>
      <c r="F410" t="str">
        <f>"AA10355"</f>
        <v>AA10355</v>
      </c>
      <c r="G410" t="str">
        <f>"8032928149488"</f>
        <v>8032928149488</v>
      </c>
      <c r="H410" t="str">
        <f t="shared" si="6"/>
        <v>Normal</v>
      </c>
      <c r="I410">
        <v>409</v>
      </c>
      <c r="J410" t="s">
        <v>804</v>
      </c>
      <c r="K410" s="1" t="s">
        <v>805</v>
      </c>
    </row>
    <row r="411" spans="1:11">
      <c r="A411" t="s">
        <v>750</v>
      </c>
      <c r="B411">
        <v>480</v>
      </c>
      <c r="C411" t="s">
        <v>128</v>
      </c>
      <c r="D411" t="str">
        <f>"AA10356"</f>
        <v>AA10356</v>
      </c>
      <c r="E411" t="str">
        <f>"AA10356"</f>
        <v>AA10356</v>
      </c>
      <c r="F411" t="str">
        <f>"AA10356"</f>
        <v>AA10356</v>
      </c>
      <c r="G411" t="str">
        <f>"8032928149495"</f>
        <v>8032928149495</v>
      </c>
      <c r="H411" t="str">
        <f t="shared" si="6"/>
        <v>Normal</v>
      </c>
      <c r="I411">
        <v>410</v>
      </c>
      <c r="J411" t="s">
        <v>806</v>
      </c>
      <c r="K411" s="1" t="s">
        <v>807</v>
      </c>
    </row>
    <row r="412" spans="1:11">
      <c r="A412" t="s">
        <v>750</v>
      </c>
      <c r="B412">
        <v>480</v>
      </c>
      <c r="C412" t="s">
        <v>128</v>
      </c>
      <c r="D412" t="str">
        <f>"AA10357"</f>
        <v>AA10357</v>
      </c>
      <c r="E412" t="str">
        <f>"AA10357"</f>
        <v>AA10357</v>
      </c>
      <c r="F412" t="str">
        <f>"AA10357"</f>
        <v>AA10357</v>
      </c>
      <c r="G412" t="str">
        <f>"8032928149501"</f>
        <v>8032928149501</v>
      </c>
      <c r="H412" t="str">
        <f t="shared" si="6"/>
        <v>Normal</v>
      </c>
      <c r="I412">
        <v>411</v>
      </c>
      <c r="J412" t="s">
        <v>808</v>
      </c>
      <c r="K412" t="s">
        <v>809</v>
      </c>
    </row>
    <row r="413" spans="1:11">
      <c r="A413" t="s">
        <v>750</v>
      </c>
      <c r="B413">
        <v>480</v>
      </c>
      <c r="C413" t="s">
        <v>128</v>
      </c>
      <c r="D413" t="str">
        <f>"AA10358"</f>
        <v>AA10358</v>
      </c>
      <c r="E413" t="str">
        <f>"AA10358"</f>
        <v>AA10358</v>
      </c>
      <c r="F413" t="str">
        <f>"AA10358"</f>
        <v>AA10358</v>
      </c>
      <c r="G413" t="str">
        <f>"8032928149518"</f>
        <v>8032928149518</v>
      </c>
      <c r="H413" t="str">
        <f t="shared" si="6"/>
        <v>Normal</v>
      </c>
      <c r="I413">
        <v>412</v>
      </c>
      <c r="J413" t="s">
        <v>810</v>
      </c>
      <c r="K413" s="1" t="s">
        <v>811</v>
      </c>
    </row>
    <row r="414" spans="1:11">
      <c r="A414" t="s">
        <v>747</v>
      </c>
      <c r="B414">
        <v>480</v>
      </c>
      <c r="C414" t="s">
        <v>128</v>
      </c>
      <c r="D414" t="str">
        <f>"AA10359"</f>
        <v>AA10359</v>
      </c>
      <c r="E414" t="str">
        <f>"AA10359"</f>
        <v>AA10359</v>
      </c>
      <c r="F414" t="str">
        <f>"AA10359"</f>
        <v>AA10359</v>
      </c>
      <c r="G414" t="str">
        <f>"8032928149525"</f>
        <v>8032928149525</v>
      </c>
      <c r="H414" t="str">
        <f t="shared" si="6"/>
        <v>Normal</v>
      </c>
      <c r="I414">
        <v>413</v>
      </c>
      <c r="J414" t="s">
        <v>812</v>
      </c>
      <c r="K414" t="s">
        <v>813</v>
      </c>
    </row>
    <row r="415" spans="1:11">
      <c r="A415" t="s">
        <v>747</v>
      </c>
      <c r="B415">
        <v>480</v>
      </c>
      <c r="C415" t="s">
        <v>128</v>
      </c>
      <c r="D415" t="str">
        <f>"AA10360"</f>
        <v>AA10360</v>
      </c>
      <c r="E415" t="str">
        <f>"AA10360"</f>
        <v>AA10360</v>
      </c>
      <c r="F415" t="str">
        <f>"AA10360"</f>
        <v>AA10360</v>
      </c>
      <c r="G415" t="str">
        <f>"8032928149532"</f>
        <v>8032928149532</v>
      </c>
      <c r="H415" t="str">
        <f t="shared" si="6"/>
        <v>Normal</v>
      </c>
      <c r="I415">
        <v>414</v>
      </c>
      <c r="J415" t="s">
        <v>814</v>
      </c>
      <c r="K415" t="s">
        <v>815</v>
      </c>
    </row>
    <row r="416" spans="1:11">
      <c r="A416" t="s">
        <v>744</v>
      </c>
      <c r="B416">
        <v>480</v>
      </c>
      <c r="C416" t="s">
        <v>128</v>
      </c>
      <c r="D416" t="str">
        <f>"AA10361"</f>
        <v>AA10361</v>
      </c>
      <c r="E416" t="str">
        <f>"AA10361"</f>
        <v>AA10361</v>
      </c>
      <c r="F416" t="str">
        <f>"AA10361"</f>
        <v>AA10361</v>
      </c>
      <c r="G416" t="str">
        <f>"8032928149549"</f>
        <v>8032928149549</v>
      </c>
      <c r="H416" t="str">
        <f t="shared" ref="H416:H479" si="7">"Normal"</f>
        <v>Normal</v>
      </c>
      <c r="I416">
        <v>415</v>
      </c>
      <c r="J416" t="s">
        <v>816</v>
      </c>
      <c r="K416" s="1" t="s">
        <v>817</v>
      </c>
    </row>
    <row r="417" spans="1:11">
      <c r="A417" t="s">
        <v>750</v>
      </c>
      <c r="B417">
        <v>480</v>
      </c>
      <c r="C417" t="s">
        <v>128</v>
      </c>
      <c r="D417" t="str">
        <f>"AA10362"</f>
        <v>AA10362</v>
      </c>
      <c r="E417" t="str">
        <f>"AA10362"</f>
        <v>AA10362</v>
      </c>
      <c r="F417" t="str">
        <f>"AA10362"</f>
        <v>AA10362</v>
      </c>
      <c r="G417" t="str">
        <f>"8032928149556"</f>
        <v>8032928149556</v>
      </c>
      <c r="H417" t="str">
        <f t="shared" si="7"/>
        <v>Normal</v>
      </c>
      <c r="I417">
        <v>416</v>
      </c>
      <c r="J417" t="s">
        <v>818</v>
      </c>
      <c r="K417" s="1" t="s">
        <v>819</v>
      </c>
    </row>
    <row r="418" spans="1:11">
      <c r="A418" t="s">
        <v>750</v>
      </c>
      <c r="B418">
        <v>480</v>
      </c>
      <c r="C418" t="s">
        <v>128</v>
      </c>
      <c r="D418" t="str">
        <f>"AA10363"</f>
        <v>AA10363</v>
      </c>
      <c r="E418" t="str">
        <f>"AA10363"</f>
        <v>AA10363</v>
      </c>
      <c r="F418" t="str">
        <f>"AA10363"</f>
        <v>AA10363</v>
      </c>
      <c r="G418" t="str">
        <f>"8032928149563"</f>
        <v>8032928149563</v>
      </c>
      <c r="H418" t="str">
        <f t="shared" si="7"/>
        <v>Normal</v>
      </c>
      <c r="I418">
        <v>417</v>
      </c>
      <c r="J418" t="s">
        <v>820</v>
      </c>
      <c r="K418" s="1" t="s">
        <v>821</v>
      </c>
    </row>
    <row r="419" spans="1:11">
      <c r="A419" t="s">
        <v>744</v>
      </c>
      <c r="B419">
        <v>480</v>
      </c>
      <c r="C419" t="s">
        <v>128</v>
      </c>
      <c r="D419" t="str">
        <f>"AA10364"</f>
        <v>AA10364</v>
      </c>
      <c r="E419" t="str">
        <f>"AA10364"</f>
        <v>AA10364</v>
      </c>
      <c r="F419" t="str">
        <f>"AA10364"</f>
        <v>AA10364</v>
      </c>
      <c r="G419" t="str">
        <f>"8032928149570"</f>
        <v>8032928149570</v>
      </c>
      <c r="H419" t="str">
        <f t="shared" si="7"/>
        <v>Normal</v>
      </c>
      <c r="I419">
        <v>418</v>
      </c>
      <c r="J419" t="s">
        <v>822</v>
      </c>
      <c r="K419" s="1" t="s">
        <v>823</v>
      </c>
    </row>
    <row r="420" spans="1:11">
      <c r="A420" t="s">
        <v>750</v>
      </c>
      <c r="B420">
        <v>480</v>
      </c>
      <c r="C420" t="s">
        <v>128</v>
      </c>
      <c r="D420" t="str">
        <f>"AA10365"</f>
        <v>AA10365</v>
      </c>
      <c r="E420" t="str">
        <f>"AA10365"</f>
        <v>AA10365</v>
      </c>
      <c r="F420" t="str">
        <f>"AA10365"</f>
        <v>AA10365</v>
      </c>
      <c r="G420" t="str">
        <f>"8032928149587"</f>
        <v>8032928149587</v>
      </c>
      <c r="H420" t="str">
        <f t="shared" si="7"/>
        <v>Normal</v>
      </c>
      <c r="I420">
        <v>419</v>
      </c>
      <c r="J420" t="s">
        <v>824</v>
      </c>
      <c r="K420" s="1" t="s">
        <v>825</v>
      </c>
    </row>
    <row r="421" spans="1:11">
      <c r="A421" t="s">
        <v>744</v>
      </c>
      <c r="B421">
        <v>480</v>
      </c>
      <c r="C421" t="s">
        <v>128</v>
      </c>
      <c r="D421" t="str">
        <f>"AA10366"</f>
        <v>AA10366</v>
      </c>
      <c r="E421" t="str">
        <f>"AA10366"</f>
        <v>AA10366</v>
      </c>
      <c r="F421" t="str">
        <f>"AA10366"</f>
        <v>AA10366</v>
      </c>
      <c r="G421" t="str">
        <f>"8032928149594"</f>
        <v>8032928149594</v>
      </c>
      <c r="H421" t="str">
        <f t="shared" si="7"/>
        <v>Normal</v>
      </c>
      <c r="I421">
        <v>420</v>
      </c>
      <c r="J421" t="s">
        <v>826</v>
      </c>
      <c r="K421" s="1" t="s">
        <v>827</v>
      </c>
    </row>
    <row r="422" spans="1:11">
      <c r="A422" t="s">
        <v>747</v>
      </c>
      <c r="B422">
        <v>480</v>
      </c>
      <c r="C422" t="s">
        <v>128</v>
      </c>
      <c r="D422" t="str">
        <f>"AA10367"</f>
        <v>AA10367</v>
      </c>
      <c r="E422" t="str">
        <f>"AA10367"</f>
        <v>AA10367</v>
      </c>
      <c r="F422" t="str">
        <f>"AA10367"</f>
        <v>AA10367</v>
      </c>
      <c r="G422" t="str">
        <f>"8032928149600"</f>
        <v>8032928149600</v>
      </c>
      <c r="H422" t="str">
        <f t="shared" si="7"/>
        <v>Normal</v>
      </c>
      <c r="I422">
        <v>421</v>
      </c>
      <c r="J422" t="s">
        <v>828</v>
      </c>
      <c r="K422" s="1" t="s">
        <v>829</v>
      </c>
    </row>
    <row r="423" spans="1:11">
      <c r="A423" t="s">
        <v>750</v>
      </c>
      <c r="B423">
        <v>480</v>
      </c>
      <c r="C423" t="s">
        <v>128</v>
      </c>
      <c r="D423" t="str">
        <f>"AA10368"</f>
        <v>AA10368</v>
      </c>
      <c r="E423" t="str">
        <f>"AA10368"</f>
        <v>AA10368</v>
      </c>
      <c r="F423" t="str">
        <f>"AA10368"</f>
        <v>AA10368</v>
      </c>
      <c r="G423" t="str">
        <f>"8032928149617"</f>
        <v>8032928149617</v>
      </c>
      <c r="H423" t="str">
        <f t="shared" si="7"/>
        <v>Normal</v>
      </c>
      <c r="I423">
        <v>422</v>
      </c>
      <c r="J423" t="s">
        <v>830</v>
      </c>
      <c r="K423" t="s">
        <v>831</v>
      </c>
    </row>
    <row r="424" spans="1:11">
      <c r="A424" t="s">
        <v>750</v>
      </c>
      <c r="B424">
        <v>480</v>
      </c>
      <c r="C424" t="s">
        <v>128</v>
      </c>
      <c r="D424" t="str">
        <f>"AA10369"</f>
        <v>AA10369</v>
      </c>
      <c r="E424" t="str">
        <f>"AA10369"</f>
        <v>AA10369</v>
      </c>
      <c r="F424" t="str">
        <f>"AA10369"</f>
        <v>AA10369</v>
      </c>
      <c r="G424" t="str">
        <f>"8032928149624"</f>
        <v>8032928149624</v>
      </c>
      <c r="H424" t="str">
        <f t="shared" si="7"/>
        <v>Normal</v>
      </c>
      <c r="I424">
        <v>423</v>
      </c>
      <c r="J424" t="s">
        <v>832</v>
      </c>
      <c r="K424" s="1" t="s">
        <v>833</v>
      </c>
    </row>
    <row r="425" spans="1:11">
      <c r="A425" t="s">
        <v>747</v>
      </c>
      <c r="B425">
        <v>480</v>
      </c>
      <c r="C425" t="s">
        <v>128</v>
      </c>
      <c r="D425" t="str">
        <f>"AA10370"</f>
        <v>AA10370</v>
      </c>
      <c r="E425" t="str">
        <f>"AA10370"</f>
        <v>AA10370</v>
      </c>
      <c r="F425" t="str">
        <f>"AA10370"</f>
        <v>AA10370</v>
      </c>
      <c r="G425" t="str">
        <f>"8032928149631"</f>
        <v>8032928149631</v>
      </c>
      <c r="H425" t="str">
        <f t="shared" si="7"/>
        <v>Normal</v>
      </c>
      <c r="I425">
        <v>424</v>
      </c>
      <c r="J425" t="s">
        <v>834</v>
      </c>
      <c r="K425" t="s">
        <v>835</v>
      </c>
    </row>
    <row r="426" spans="1:11">
      <c r="A426" t="s">
        <v>750</v>
      </c>
      <c r="B426">
        <v>480</v>
      </c>
      <c r="C426" t="s">
        <v>128</v>
      </c>
      <c r="D426" t="str">
        <f>"AA10371"</f>
        <v>AA10371</v>
      </c>
      <c r="E426" t="str">
        <f>"AA10371"</f>
        <v>AA10371</v>
      </c>
      <c r="F426" t="str">
        <f>"AA10371"</f>
        <v>AA10371</v>
      </c>
      <c r="G426" t="str">
        <f>"8032928149648"</f>
        <v>8032928149648</v>
      </c>
      <c r="H426" t="str">
        <f t="shared" si="7"/>
        <v>Normal</v>
      </c>
      <c r="I426">
        <v>425</v>
      </c>
      <c r="J426" t="s">
        <v>836</v>
      </c>
      <c r="K426" t="s">
        <v>837</v>
      </c>
    </row>
    <row r="427" spans="1:11">
      <c r="A427" t="s">
        <v>750</v>
      </c>
      <c r="B427">
        <v>480</v>
      </c>
      <c r="C427" t="s">
        <v>128</v>
      </c>
      <c r="D427" t="str">
        <f>"AA10372"</f>
        <v>AA10372</v>
      </c>
      <c r="E427" t="str">
        <f>"AA10372"</f>
        <v>AA10372</v>
      </c>
      <c r="F427" t="str">
        <f>"AA10372"</f>
        <v>AA10372</v>
      </c>
      <c r="G427" t="str">
        <f>"8032928149655"</f>
        <v>8032928149655</v>
      </c>
      <c r="H427" t="str">
        <f t="shared" si="7"/>
        <v>Normal</v>
      </c>
      <c r="I427">
        <v>426</v>
      </c>
      <c r="J427" t="s">
        <v>838</v>
      </c>
      <c r="K427" s="1" t="s">
        <v>839</v>
      </c>
    </row>
    <row r="428" spans="1:11">
      <c r="A428" t="s">
        <v>744</v>
      </c>
      <c r="B428">
        <v>480</v>
      </c>
      <c r="C428" t="s">
        <v>128</v>
      </c>
      <c r="D428" t="str">
        <f>"AA10373"</f>
        <v>AA10373</v>
      </c>
      <c r="E428" t="str">
        <f>"AA10373"</f>
        <v>AA10373</v>
      </c>
      <c r="F428" t="str">
        <f>"AA10373"</f>
        <v>AA10373</v>
      </c>
      <c r="G428" t="str">
        <f>"8032928149662"</f>
        <v>8032928149662</v>
      </c>
      <c r="H428" t="str">
        <f t="shared" si="7"/>
        <v>Normal</v>
      </c>
      <c r="I428">
        <v>427</v>
      </c>
      <c r="J428" t="s">
        <v>840</v>
      </c>
      <c r="K428" s="1" t="s">
        <v>841</v>
      </c>
    </row>
    <row r="429" spans="1:11">
      <c r="A429" t="s">
        <v>747</v>
      </c>
      <c r="B429">
        <v>480</v>
      </c>
      <c r="C429" t="s">
        <v>128</v>
      </c>
      <c r="D429" t="str">
        <f>"AA10374"</f>
        <v>AA10374</v>
      </c>
      <c r="E429" t="str">
        <f>"AA10374"</f>
        <v>AA10374</v>
      </c>
      <c r="F429" t="str">
        <f>"AA10374"</f>
        <v>AA10374</v>
      </c>
      <c r="G429" t="str">
        <f>"8032928149679"</f>
        <v>8032928149679</v>
      </c>
      <c r="H429" t="str">
        <f t="shared" si="7"/>
        <v>Normal</v>
      </c>
      <c r="I429">
        <v>428</v>
      </c>
      <c r="J429" t="s">
        <v>842</v>
      </c>
      <c r="K429" s="1" t="s">
        <v>843</v>
      </c>
    </row>
    <row r="430" spans="1:11">
      <c r="A430" t="s">
        <v>750</v>
      </c>
      <c r="B430">
        <v>480</v>
      </c>
      <c r="C430" t="s">
        <v>128</v>
      </c>
      <c r="D430" t="str">
        <f>"AA10375"</f>
        <v>AA10375</v>
      </c>
      <c r="E430" t="str">
        <f>"AA10375"</f>
        <v>AA10375</v>
      </c>
      <c r="F430" t="str">
        <f>"AA10375"</f>
        <v>AA10375</v>
      </c>
      <c r="G430" t="str">
        <f>"8032928149686"</f>
        <v>8032928149686</v>
      </c>
      <c r="H430" t="str">
        <f t="shared" si="7"/>
        <v>Normal</v>
      </c>
      <c r="I430">
        <v>429</v>
      </c>
      <c r="J430" t="s">
        <v>844</v>
      </c>
      <c r="K430" t="s">
        <v>845</v>
      </c>
    </row>
    <row r="431" spans="1:11">
      <c r="A431" t="s">
        <v>750</v>
      </c>
      <c r="B431">
        <v>480</v>
      </c>
      <c r="C431" t="s">
        <v>128</v>
      </c>
      <c r="D431" t="str">
        <f>"AA10376"</f>
        <v>AA10376</v>
      </c>
      <c r="E431" t="str">
        <f>"AA10376"</f>
        <v>AA10376</v>
      </c>
      <c r="F431" t="str">
        <f>"AA10376"</f>
        <v>AA10376</v>
      </c>
      <c r="G431" t="str">
        <f>"8032928149693"</f>
        <v>8032928149693</v>
      </c>
      <c r="H431" t="str">
        <f t="shared" si="7"/>
        <v>Normal</v>
      </c>
      <c r="I431">
        <v>430</v>
      </c>
      <c r="J431" t="s">
        <v>846</v>
      </c>
      <c r="K431" s="1" t="s">
        <v>847</v>
      </c>
    </row>
    <row r="432" spans="1:11">
      <c r="A432" t="s">
        <v>750</v>
      </c>
      <c r="B432">
        <v>480</v>
      </c>
      <c r="C432" t="s">
        <v>128</v>
      </c>
      <c r="D432" t="str">
        <f>"AA10377"</f>
        <v>AA10377</v>
      </c>
      <c r="E432" t="str">
        <f>"AA10377"</f>
        <v>AA10377</v>
      </c>
      <c r="F432" t="str">
        <f>"AA10377"</f>
        <v>AA10377</v>
      </c>
      <c r="G432" t="str">
        <f>"8032928149709"</f>
        <v>8032928149709</v>
      </c>
      <c r="H432" t="str">
        <f t="shared" si="7"/>
        <v>Normal</v>
      </c>
      <c r="I432">
        <v>431</v>
      </c>
      <c r="J432" t="s">
        <v>848</v>
      </c>
      <c r="K432" s="1" t="s">
        <v>849</v>
      </c>
    </row>
    <row r="433" spans="1:11">
      <c r="A433" t="s">
        <v>750</v>
      </c>
      <c r="B433">
        <v>480</v>
      </c>
      <c r="C433" t="s">
        <v>128</v>
      </c>
      <c r="D433" t="str">
        <f>"AA10378"</f>
        <v>AA10378</v>
      </c>
      <c r="E433" t="str">
        <f>"AA10378"</f>
        <v>AA10378</v>
      </c>
      <c r="F433" t="str">
        <f>"AA10378"</f>
        <v>AA10378</v>
      </c>
      <c r="G433" t="str">
        <f>"8032928149716"</f>
        <v>8032928149716</v>
      </c>
      <c r="H433" t="str">
        <f t="shared" si="7"/>
        <v>Normal</v>
      </c>
      <c r="I433">
        <v>432</v>
      </c>
      <c r="J433" t="s">
        <v>850</v>
      </c>
      <c r="K433" t="s">
        <v>851</v>
      </c>
    </row>
    <row r="434" spans="1:11">
      <c r="A434" t="s">
        <v>750</v>
      </c>
      <c r="B434">
        <v>480</v>
      </c>
      <c r="C434" t="s">
        <v>128</v>
      </c>
      <c r="D434" t="str">
        <f>"AA10379"</f>
        <v>AA10379</v>
      </c>
      <c r="E434" t="str">
        <f>"AA10379"</f>
        <v>AA10379</v>
      </c>
      <c r="F434" t="str">
        <f>"AA10379"</f>
        <v>AA10379</v>
      </c>
      <c r="G434" t="str">
        <f>"8032928149723"</f>
        <v>8032928149723</v>
      </c>
      <c r="H434" t="str">
        <f t="shared" si="7"/>
        <v>Normal</v>
      </c>
      <c r="I434">
        <v>433</v>
      </c>
      <c r="J434" t="s">
        <v>852</v>
      </c>
      <c r="K434" t="s">
        <v>853</v>
      </c>
    </row>
    <row r="435" spans="1:11">
      <c r="A435" t="s">
        <v>750</v>
      </c>
      <c r="B435">
        <v>480</v>
      </c>
      <c r="C435" t="s">
        <v>128</v>
      </c>
      <c r="D435" t="str">
        <f>"AA10380"</f>
        <v>AA10380</v>
      </c>
      <c r="E435" t="str">
        <f>"AA10380"</f>
        <v>AA10380</v>
      </c>
      <c r="F435" t="str">
        <f>"AA10380"</f>
        <v>AA10380</v>
      </c>
      <c r="G435" t="str">
        <f>"8032928149730"</f>
        <v>8032928149730</v>
      </c>
      <c r="H435" t="str">
        <f t="shared" si="7"/>
        <v>Normal</v>
      </c>
      <c r="I435">
        <v>434</v>
      </c>
      <c r="J435" t="s">
        <v>854</v>
      </c>
      <c r="K435" t="s">
        <v>855</v>
      </c>
    </row>
    <row r="436" spans="1:11">
      <c r="A436" t="s">
        <v>747</v>
      </c>
      <c r="B436">
        <v>480</v>
      </c>
      <c r="C436" t="s">
        <v>128</v>
      </c>
      <c r="D436" t="str">
        <f>"AA10381"</f>
        <v>AA10381</v>
      </c>
      <c r="E436" t="str">
        <f>"AA10381"</f>
        <v>AA10381</v>
      </c>
      <c r="F436" t="str">
        <f>"AA10381"</f>
        <v>AA10381</v>
      </c>
      <c r="G436" t="str">
        <f>"8032928149747"</f>
        <v>8032928149747</v>
      </c>
      <c r="H436" t="str">
        <f t="shared" si="7"/>
        <v>Normal</v>
      </c>
      <c r="I436">
        <v>435</v>
      </c>
      <c r="J436" t="s">
        <v>856</v>
      </c>
      <c r="K436" s="1" t="s">
        <v>857</v>
      </c>
    </row>
    <row r="437" spans="1:11">
      <c r="A437" t="s">
        <v>750</v>
      </c>
      <c r="B437">
        <v>480</v>
      </c>
      <c r="C437" t="s">
        <v>128</v>
      </c>
      <c r="D437" t="str">
        <f>"AA10382"</f>
        <v>AA10382</v>
      </c>
      <c r="E437" t="str">
        <f>"AA10382"</f>
        <v>AA10382</v>
      </c>
      <c r="F437" t="str">
        <f>"AA10382"</f>
        <v>AA10382</v>
      </c>
      <c r="G437" t="str">
        <f>"8032928149754"</f>
        <v>8032928149754</v>
      </c>
      <c r="H437" t="str">
        <f t="shared" si="7"/>
        <v>Normal</v>
      </c>
      <c r="I437">
        <v>436</v>
      </c>
      <c r="J437" t="s">
        <v>858</v>
      </c>
      <c r="K437" t="s">
        <v>859</v>
      </c>
    </row>
    <row r="438" spans="1:11">
      <c r="A438" t="s">
        <v>860</v>
      </c>
      <c r="B438">
        <v>480</v>
      </c>
      <c r="C438" t="s">
        <v>128</v>
      </c>
      <c r="D438" t="str">
        <f>"B1001V"</f>
        <v>B1001V</v>
      </c>
      <c r="E438" t="str">
        <f>"B1001V"</f>
        <v>B1001V</v>
      </c>
      <c r="F438" t="str">
        <f>"B1001V"</f>
        <v>B1001V</v>
      </c>
      <c r="G438" t="str">
        <f>"8032928102438"</f>
        <v>8032928102438</v>
      </c>
      <c r="H438" t="str">
        <f t="shared" si="7"/>
        <v>Normal</v>
      </c>
      <c r="I438">
        <v>437</v>
      </c>
      <c r="J438" t="s">
        <v>861</v>
      </c>
      <c r="K438" t="s">
        <v>862</v>
      </c>
    </row>
    <row r="439" spans="1:11">
      <c r="A439" t="s">
        <v>860</v>
      </c>
      <c r="B439">
        <v>480</v>
      </c>
      <c r="C439" t="s">
        <v>128</v>
      </c>
      <c r="D439" t="str">
        <f>"B1002V"</f>
        <v>B1002V</v>
      </c>
      <c r="E439" t="str">
        <f>"B1002V"</f>
        <v>B1002V</v>
      </c>
      <c r="F439" t="str">
        <f>"B1002V"</f>
        <v>B1002V</v>
      </c>
      <c r="G439" t="str">
        <f>"8032928134668"</f>
        <v>8032928134668</v>
      </c>
      <c r="H439" t="str">
        <f t="shared" si="7"/>
        <v>Normal</v>
      </c>
      <c r="I439">
        <v>438</v>
      </c>
      <c r="J439" t="s">
        <v>863</v>
      </c>
      <c r="K439" s="1" t="s">
        <v>864</v>
      </c>
    </row>
    <row r="440" spans="1:11">
      <c r="A440" t="s">
        <v>860</v>
      </c>
      <c r="B440">
        <v>480</v>
      </c>
      <c r="C440" t="s">
        <v>128</v>
      </c>
      <c r="D440" t="str">
        <f>"B1041P"</f>
        <v>B1041P</v>
      </c>
      <c r="E440" t="str">
        <f>"B1041P"</f>
        <v>B1041P</v>
      </c>
      <c r="F440" t="str">
        <f>"B1041P"</f>
        <v>B1041P</v>
      </c>
      <c r="G440" t="str">
        <f>"8032532069431"</f>
        <v>8032532069431</v>
      </c>
      <c r="H440" t="str">
        <f t="shared" si="7"/>
        <v>Normal</v>
      </c>
      <c r="I440">
        <v>439</v>
      </c>
      <c r="J440" t="s">
        <v>865</v>
      </c>
      <c r="K440" s="1" t="s">
        <v>866</v>
      </c>
    </row>
    <row r="441" spans="1:11">
      <c r="A441" t="s">
        <v>860</v>
      </c>
      <c r="B441">
        <v>480</v>
      </c>
      <c r="C441" t="s">
        <v>128</v>
      </c>
      <c r="D441" t="str">
        <f>"B1051V"</f>
        <v>B1051V</v>
      </c>
      <c r="E441" t="str">
        <f>"B1051V"</f>
        <v>B1051V</v>
      </c>
      <c r="F441" t="str">
        <f>"B1051V"</f>
        <v>B1051V</v>
      </c>
      <c r="G441" t="str">
        <f>"8032532069448"</f>
        <v>8032532069448</v>
      </c>
      <c r="H441" t="str">
        <f t="shared" si="7"/>
        <v>Normal</v>
      </c>
      <c r="I441">
        <v>440</v>
      </c>
      <c r="J441" t="s">
        <v>867</v>
      </c>
      <c r="K441" s="1" t="s">
        <v>868</v>
      </c>
    </row>
    <row r="442" spans="1:11">
      <c r="A442" t="s">
        <v>860</v>
      </c>
      <c r="B442">
        <v>480</v>
      </c>
      <c r="C442" t="s">
        <v>128</v>
      </c>
      <c r="D442" t="str">
        <f>"B2002V"</f>
        <v>B2002V</v>
      </c>
      <c r="E442" t="str">
        <f>"B2002V"</f>
        <v>B2002V</v>
      </c>
      <c r="F442" t="str">
        <f>"B2002V"</f>
        <v>B2002V</v>
      </c>
      <c r="G442" t="str">
        <f>"8032532108604"</f>
        <v>8032532108604</v>
      </c>
      <c r="H442" t="str">
        <f t="shared" si="7"/>
        <v>Normal</v>
      </c>
      <c r="I442">
        <v>441</v>
      </c>
      <c r="J442" t="s">
        <v>869</v>
      </c>
      <c r="K442" s="1" t="s">
        <v>870</v>
      </c>
    </row>
    <row r="443" spans="1:11">
      <c r="A443" t="s">
        <v>860</v>
      </c>
      <c r="B443">
        <v>480</v>
      </c>
      <c r="C443" t="s">
        <v>128</v>
      </c>
      <c r="D443" t="str">
        <f>"B2002VR"</f>
        <v>B2002VR</v>
      </c>
      <c r="E443" t="str">
        <f>"B2002VR"</f>
        <v>B2002VR</v>
      </c>
      <c r="F443" t="str">
        <f>"B2002VR"</f>
        <v>B2002VR</v>
      </c>
      <c r="G443" t="str">
        <f>"8032928100007"</f>
        <v>8032928100007</v>
      </c>
      <c r="H443" t="str">
        <f t="shared" si="7"/>
        <v>Normal</v>
      </c>
      <c r="I443">
        <v>442</v>
      </c>
      <c r="J443" t="s">
        <v>871</v>
      </c>
      <c r="K443" s="1" t="s">
        <v>872</v>
      </c>
    </row>
    <row r="444" spans="1:11">
      <c r="A444" t="s">
        <v>860</v>
      </c>
      <c r="B444">
        <v>480</v>
      </c>
      <c r="C444" t="s">
        <v>128</v>
      </c>
      <c r="D444" t="str">
        <f>"B2003P"</f>
        <v>B2003P</v>
      </c>
      <c r="E444" t="str">
        <f>"B2003P"</f>
        <v>B2003P</v>
      </c>
      <c r="F444" t="str">
        <f>"B2003P"</f>
        <v>B2003P</v>
      </c>
      <c r="G444" t="str">
        <f>"8032532108611"</f>
        <v>8032532108611</v>
      </c>
      <c r="H444" t="str">
        <f t="shared" si="7"/>
        <v>Normal</v>
      </c>
      <c r="I444">
        <v>443</v>
      </c>
      <c r="J444" t="s">
        <v>873</v>
      </c>
      <c r="K444" s="1" t="s">
        <v>874</v>
      </c>
    </row>
    <row r="445" spans="1:11">
      <c r="A445" t="s">
        <v>860</v>
      </c>
      <c r="B445">
        <v>480</v>
      </c>
      <c r="C445" t="s">
        <v>128</v>
      </c>
      <c r="D445" t="str">
        <f>"B2003PR"</f>
        <v>B2003PR</v>
      </c>
      <c r="E445" t="str">
        <f>"B2003PR"</f>
        <v>B2003PR</v>
      </c>
      <c r="F445" t="str">
        <f>"B2003PR"</f>
        <v>B2003PR</v>
      </c>
      <c r="G445" t="str">
        <f>"8032928136907"</f>
        <v>8032928136907</v>
      </c>
      <c r="H445" t="str">
        <f t="shared" si="7"/>
        <v>Normal</v>
      </c>
      <c r="I445">
        <v>444</v>
      </c>
      <c r="J445" t="s">
        <v>875</v>
      </c>
      <c r="K445" s="1" t="s">
        <v>876</v>
      </c>
    </row>
    <row r="446" spans="1:11">
      <c r="A446" t="s">
        <v>860</v>
      </c>
      <c r="B446">
        <v>480</v>
      </c>
      <c r="C446" t="s">
        <v>128</v>
      </c>
      <c r="D446" t="str">
        <f>"B2004P"</f>
        <v>B2004P</v>
      </c>
      <c r="E446" t="str">
        <f>"B2004P"</f>
        <v>B2004P</v>
      </c>
      <c r="F446" t="str">
        <f>"B2004P"</f>
        <v>B2004P</v>
      </c>
      <c r="G446" t="str">
        <f>"8032532108628"</f>
        <v>8032532108628</v>
      </c>
      <c r="H446" t="str">
        <f t="shared" si="7"/>
        <v>Normal</v>
      </c>
      <c r="I446">
        <v>445</v>
      </c>
      <c r="J446" t="s">
        <v>877</v>
      </c>
      <c r="K446" s="1" t="s">
        <v>878</v>
      </c>
    </row>
    <row r="447" spans="1:11">
      <c r="A447" t="s">
        <v>860</v>
      </c>
      <c r="B447">
        <v>480</v>
      </c>
      <c r="C447" t="s">
        <v>128</v>
      </c>
      <c r="D447" t="str">
        <f>"B2005V"</f>
        <v>B2005V</v>
      </c>
      <c r="E447" t="str">
        <f>"B2005V"</f>
        <v>B2005V</v>
      </c>
      <c r="F447" t="str">
        <f>"B2005V"</f>
        <v>B2005V</v>
      </c>
      <c r="G447" t="str">
        <f>"8032532016459"</f>
        <v>8032532016459</v>
      </c>
      <c r="H447" t="str">
        <f t="shared" si="7"/>
        <v>Normal</v>
      </c>
      <c r="I447">
        <v>446</v>
      </c>
      <c r="J447" t="s">
        <v>879</v>
      </c>
      <c r="K447" s="1" t="s">
        <v>880</v>
      </c>
    </row>
    <row r="448" spans="1:11">
      <c r="A448" t="s">
        <v>860</v>
      </c>
      <c r="B448">
        <v>480</v>
      </c>
      <c r="C448" t="s">
        <v>128</v>
      </c>
      <c r="D448" t="str">
        <f>"B2006V"</f>
        <v>B2006V</v>
      </c>
      <c r="E448" t="str">
        <f>"B2006V"</f>
        <v>B2006V</v>
      </c>
      <c r="F448" t="str">
        <f>"B2006V"</f>
        <v>B2006V</v>
      </c>
      <c r="G448" t="str">
        <f>"8032532022054"</f>
        <v>8032532022054</v>
      </c>
      <c r="H448" t="str">
        <f t="shared" si="7"/>
        <v>Normal</v>
      </c>
      <c r="I448">
        <v>447</v>
      </c>
      <c r="J448" t="s">
        <v>881</v>
      </c>
      <c r="K448" s="1" t="s">
        <v>882</v>
      </c>
    </row>
    <row r="449" spans="1:11">
      <c r="A449" t="s">
        <v>860</v>
      </c>
      <c r="B449">
        <v>480</v>
      </c>
      <c r="C449" t="s">
        <v>128</v>
      </c>
      <c r="D449" t="str">
        <f>"B2007V"</f>
        <v>B2007V</v>
      </c>
      <c r="E449" t="str">
        <f>"B2007V"</f>
        <v>B2007V</v>
      </c>
      <c r="F449" t="str">
        <f>"B2007V"</f>
        <v>B2007V</v>
      </c>
      <c r="G449" t="str">
        <f>"8032532055939"</f>
        <v>8032532055939</v>
      </c>
      <c r="H449" t="str">
        <f t="shared" si="7"/>
        <v>Normal</v>
      </c>
      <c r="I449">
        <v>448</v>
      </c>
      <c r="J449" t="s">
        <v>883</v>
      </c>
      <c r="K449" s="1" t="s">
        <v>884</v>
      </c>
    </row>
    <row r="450" spans="1:11">
      <c r="A450" t="s">
        <v>860</v>
      </c>
      <c r="B450">
        <v>480</v>
      </c>
      <c r="C450" t="s">
        <v>128</v>
      </c>
      <c r="D450" t="str">
        <f>"B2008V"</f>
        <v>B2008V</v>
      </c>
      <c r="E450" t="str">
        <f>"B2008V"</f>
        <v>B2008V</v>
      </c>
      <c r="F450" t="str">
        <f>"B2008V"</f>
        <v>B2008V</v>
      </c>
      <c r="G450" t="str">
        <f>"8032532087169"</f>
        <v>8032532087169</v>
      </c>
      <c r="H450" t="str">
        <f t="shared" si="7"/>
        <v>Normal</v>
      </c>
      <c r="I450">
        <v>449</v>
      </c>
      <c r="J450" t="s">
        <v>885</v>
      </c>
      <c r="K450" s="1" t="s">
        <v>886</v>
      </c>
    </row>
    <row r="451" spans="1:11">
      <c r="A451" t="s">
        <v>860</v>
      </c>
      <c r="B451">
        <v>480</v>
      </c>
      <c r="C451" t="s">
        <v>128</v>
      </c>
      <c r="D451" t="str">
        <f>"B2008VR"</f>
        <v>B2008VR</v>
      </c>
      <c r="E451" t="str">
        <f>"B2008VR"</f>
        <v>B2008VR</v>
      </c>
      <c r="F451" t="str">
        <f>"B2008VR"</f>
        <v>B2008VR</v>
      </c>
      <c r="G451" t="str">
        <f>"8032928136532"</f>
        <v>8032928136532</v>
      </c>
      <c r="H451" t="str">
        <f t="shared" si="7"/>
        <v>Normal</v>
      </c>
      <c r="I451">
        <v>450</v>
      </c>
      <c r="J451" t="s">
        <v>887</v>
      </c>
      <c r="K451" s="1" t="s">
        <v>888</v>
      </c>
    </row>
    <row r="452" spans="1:11">
      <c r="A452" t="s">
        <v>860</v>
      </c>
      <c r="B452">
        <v>480</v>
      </c>
      <c r="C452" t="s">
        <v>128</v>
      </c>
      <c r="D452" t="str">
        <f>"B2009P"</f>
        <v>B2009P</v>
      </c>
      <c r="E452" t="str">
        <f>"B2009P"</f>
        <v>B2009P</v>
      </c>
      <c r="F452" t="str">
        <f>"B2009P"</f>
        <v>B2009P</v>
      </c>
      <c r="G452" t="str">
        <f>"8032532087244"</f>
        <v>8032532087244</v>
      </c>
      <c r="H452" t="str">
        <f t="shared" si="7"/>
        <v>Normal</v>
      </c>
      <c r="I452">
        <v>451</v>
      </c>
      <c r="J452" t="s">
        <v>889</v>
      </c>
      <c r="K452" s="1" t="s">
        <v>890</v>
      </c>
    </row>
    <row r="453" spans="1:11">
      <c r="A453" t="s">
        <v>860</v>
      </c>
      <c r="B453">
        <v>480</v>
      </c>
      <c r="C453" t="s">
        <v>128</v>
      </c>
      <c r="D453" t="str">
        <f>"B2009PR"</f>
        <v>B2009PR</v>
      </c>
      <c r="E453" t="str">
        <f>"B2009PR"</f>
        <v>B2009PR</v>
      </c>
      <c r="F453" t="str">
        <f>"B2009PR"</f>
        <v>B2009PR</v>
      </c>
      <c r="G453" t="str">
        <f>"8032928149785"</f>
        <v>8032928149785</v>
      </c>
      <c r="H453" t="str">
        <f t="shared" si="7"/>
        <v>Normal</v>
      </c>
      <c r="I453">
        <v>452</v>
      </c>
      <c r="J453" t="s">
        <v>891</v>
      </c>
      <c r="K453" s="1" t="s">
        <v>892</v>
      </c>
    </row>
    <row r="454" spans="1:11">
      <c r="A454" t="s">
        <v>860</v>
      </c>
      <c r="B454">
        <v>480</v>
      </c>
      <c r="C454" t="s">
        <v>128</v>
      </c>
      <c r="D454" t="str">
        <f>"B2010V"</f>
        <v>B2010V</v>
      </c>
      <c r="E454" t="str">
        <f>"B2010V"</f>
        <v>B2010V</v>
      </c>
      <c r="F454" t="str">
        <f>"B2010V"</f>
        <v>B2010V</v>
      </c>
      <c r="G454" t="str">
        <f>"8032928002967"</f>
        <v>8032928002967</v>
      </c>
      <c r="H454" t="str">
        <f t="shared" si="7"/>
        <v>Normal</v>
      </c>
      <c r="I454">
        <v>453</v>
      </c>
      <c r="J454" t="s">
        <v>893</v>
      </c>
      <c r="K454" s="1" t="s">
        <v>894</v>
      </c>
    </row>
    <row r="455" spans="1:11">
      <c r="A455" t="s">
        <v>860</v>
      </c>
      <c r="B455">
        <v>480</v>
      </c>
      <c r="C455" t="s">
        <v>128</v>
      </c>
      <c r="D455" t="str">
        <f>"B2012V"</f>
        <v>B2012V</v>
      </c>
      <c r="E455" t="str">
        <f>"B2012V"</f>
        <v>B2012V</v>
      </c>
      <c r="F455" t="str">
        <f>"B2012V"</f>
        <v>B2012V</v>
      </c>
      <c r="G455" t="str">
        <f>"8032928002943"</f>
        <v>8032928002943</v>
      </c>
      <c r="H455" t="str">
        <f t="shared" si="7"/>
        <v>Normal</v>
      </c>
      <c r="I455">
        <v>454</v>
      </c>
      <c r="J455" t="s">
        <v>895</v>
      </c>
      <c r="K455" s="1" t="s">
        <v>896</v>
      </c>
    </row>
    <row r="456" spans="1:11">
      <c r="A456" t="s">
        <v>860</v>
      </c>
      <c r="B456">
        <v>480</v>
      </c>
      <c r="C456" t="s">
        <v>128</v>
      </c>
      <c r="D456" t="str">
        <f>"B2013V"</f>
        <v>B2013V</v>
      </c>
      <c r="E456" t="str">
        <f>"B2013V"</f>
        <v>B2013V</v>
      </c>
      <c r="F456" t="str">
        <f>"B2013V"</f>
        <v>B2013V</v>
      </c>
      <c r="G456" t="str">
        <f>"8032928002950"</f>
        <v>8032928002950</v>
      </c>
      <c r="H456" t="str">
        <f t="shared" si="7"/>
        <v>Normal</v>
      </c>
      <c r="I456">
        <v>455</v>
      </c>
      <c r="J456" t="s">
        <v>897</v>
      </c>
      <c r="K456" s="1" t="s">
        <v>898</v>
      </c>
    </row>
    <row r="457" spans="1:11">
      <c r="A457" t="s">
        <v>860</v>
      </c>
      <c r="B457">
        <v>480</v>
      </c>
      <c r="C457" t="s">
        <v>128</v>
      </c>
      <c r="D457" t="str">
        <f>"B2013VR"</f>
        <v>B2013VR</v>
      </c>
      <c r="E457" t="str">
        <f>"B2013VR"</f>
        <v>B2013VR</v>
      </c>
      <c r="F457" t="str">
        <f>"B2013VR"</f>
        <v>B2013VR</v>
      </c>
      <c r="G457" t="str">
        <f>"8032928100038"</f>
        <v>8032928100038</v>
      </c>
      <c r="H457" t="str">
        <f t="shared" si="7"/>
        <v>Normal</v>
      </c>
      <c r="I457">
        <v>456</v>
      </c>
      <c r="J457" t="s">
        <v>899</v>
      </c>
      <c r="K457" s="1" t="s">
        <v>900</v>
      </c>
    </row>
    <row r="458" spans="1:11">
      <c r="A458" t="s">
        <v>860</v>
      </c>
      <c r="B458">
        <v>480</v>
      </c>
      <c r="C458" t="s">
        <v>128</v>
      </c>
      <c r="D458" t="str">
        <f>"B2014V"</f>
        <v>B2014V</v>
      </c>
      <c r="E458" t="str">
        <f>"B2014V"</f>
        <v>B2014V</v>
      </c>
      <c r="F458" t="str">
        <f>"B2014V"</f>
        <v>B2014V</v>
      </c>
      <c r="G458" t="str">
        <f>"8032928002929"</f>
        <v>8032928002929</v>
      </c>
      <c r="H458" t="str">
        <f t="shared" si="7"/>
        <v>Normal</v>
      </c>
      <c r="I458">
        <v>457</v>
      </c>
      <c r="J458" t="s">
        <v>901</v>
      </c>
      <c r="K458" s="1" t="s">
        <v>902</v>
      </c>
    </row>
    <row r="459" spans="1:11">
      <c r="A459" t="s">
        <v>860</v>
      </c>
      <c r="B459">
        <v>480</v>
      </c>
      <c r="C459" t="s">
        <v>128</v>
      </c>
      <c r="D459" t="str">
        <f>"B2015V"</f>
        <v>B2015V</v>
      </c>
      <c r="E459" t="str">
        <f>"B2015V"</f>
        <v>B2015V</v>
      </c>
      <c r="F459" t="str">
        <f>"B2015V"</f>
        <v>B2015V</v>
      </c>
      <c r="G459" t="str">
        <f>"8032928002974"</f>
        <v>8032928002974</v>
      </c>
      <c r="H459" t="str">
        <f t="shared" si="7"/>
        <v>Normal</v>
      </c>
      <c r="I459">
        <v>458</v>
      </c>
      <c r="J459" t="s">
        <v>903</v>
      </c>
      <c r="K459" s="1" t="s">
        <v>904</v>
      </c>
    </row>
    <row r="460" spans="1:11">
      <c r="A460" t="s">
        <v>860</v>
      </c>
      <c r="B460">
        <v>480</v>
      </c>
      <c r="C460" t="s">
        <v>128</v>
      </c>
      <c r="D460" t="str">
        <f>"B2016V"</f>
        <v>B2016V</v>
      </c>
      <c r="E460" t="str">
        <f>"B2016V"</f>
        <v>B2016V</v>
      </c>
      <c r="F460" t="str">
        <f>"B2016V"</f>
        <v>B2016V</v>
      </c>
      <c r="G460" t="str">
        <f>"8032928002981"</f>
        <v>8032928002981</v>
      </c>
      <c r="H460" t="str">
        <f t="shared" si="7"/>
        <v>Normal</v>
      </c>
      <c r="I460">
        <v>459</v>
      </c>
      <c r="J460" t="s">
        <v>905</v>
      </c>
      <c r="K460" s="1" t="s">
        <v>906</v>
      </c>
    </row>
    <row r="461" spans="1:11">
      <c r="A461" t="s">
        <v>860</v>
      </c>
      <c r="B461">
        <v>480</v>
      </c>
      <c r="C461" t="s">
        <v>128</v>
      </c>
      <c r="D461" t="str">
        <f>"B2017V"</f>
        <v>B2017V</v>
      </c>
      <c r="E461" t="str">
        <f>"B2017V"</f>
        <v>B2017V</v>
      </c>
      <c r="F461" t="str">
        <f>"B2017V"</f>
        <v>B2017V</v>
      </c>
      <c r="G461" t="str">
        <f>"8032928002998"</f>
        <v>8032928002998</v>
      </c>
      <c r="H461" t="str">
        <f t="shared" si="7"/>
        <v>Normal</v>
      </c>
      <c r="I461">
        <v>460</v>
      </c>
      <c r="J461" t="s">
        <v>907</v>
      </c>
      <c r="K461" s="1" t="s">
        <v>908</v>
      </c>
    </row>
    <row r="462" spans="1:11">
      <c r="A462" t="s">
        <v>860</v>
      </c>
      <c r="B462">
        <v>480</v>
      </c>
      <c r="C462" t="s">
        <v>128</v>
      </c>
      <c r="D462" t="str">
        <f>"B2017VR"</f>
        <v>B2017VR</v>
      </c>
      <c r="E462" t="str">
        <f>"B2017VR"</f>
        <v>B2017VR</v>
      </c>
      <c r="F462" t="str">
        <f>"B2017VR"</f>
        <v>B2017VR</v>
      </c>
      <c r="G462" t="str">
        <f>"8032928100052"</f>
        <v>8032928100052</v>
      </c>
      <c r="H462" t="str">
        <f t="shared" si="7"/>
        <v>Normal</v>
      </c>
      <c r="I462">
        <v>461</v>
      </c>
      <c r="J462" t="s">
        <v>909</v>
      </c>
      <c r="K462" t="s">
        <v>910</v>
      </c>
    </row>
    <row r="463" spans="1:11">
      <c r="A463" t="s">
        <v>860</v>
      </c>
      <c r="B463">
        <v>480</v>
      </c>
      <c r="C463" t="s">
        <v>128</v>
      </c>
      <c r="D463" t="str">
        <f>"B2018V"</f>
        <v>B2018V</v>
      </c>
      <c r="E463" t="str">
        <f>"B2018V"</f>
        <v>B2018V</v>
      </c>
      <c r="F463" t="str">
        <f>"B2018V"</f>
        <v>B2018V</v>
      </c>
      <c r="G463" t="str">
        <f>"8032928003926"</f>
        <v>8032928003926</v>
      </c>
      <c r="H463" t="str">
        <f t="shared" si="7"/>
        <v>Normal</v>
      </c>
      <c r="I463">
        <v>462</v>
      </c>
      <c r="J463" t="s">
        <v>911</v>
      </c>
      <c r="K463" s="1" t="s">
        <v>912</v>
      </c>
    </row>
    <row r="464" spans="1:11">
      <c r="A464" t="s">
        <v>860</v>
      </c>
      <c r="B464">
        <v>480</v>
      </c>
      <c r="C464" t="s">
        <v>128</v>
      </c>
      <c r="D464" t="str">
        <f>"B2018VR"</f>
        <v>B2018VR</v>
      </c>
      <c r="E464" t="str">
        <f>"B2018VR"</f>
        <v>B2018VR</v>
      </c>
      <c r="F464" t="str">
        <f>"B2018VR"</f>
        <v>B2018VR</v>
      </c>
      <c r="G464" t="str">
        <f>"8032928100069"</f>
        <v>8032928100069</v>
      </c>
      <c r="H464" t="str">
        <f t="shared" si="7"/>
        <v>Normal</v>
      </c>
      <c r="I464">
        <v>463</v>
      </c>
      <c r="J464" t="s">
        <v>913</v>
      </c>
      <c r="K464" t="s">
        <v>914</v>
      </c>
    </row>
    <row r="465" spans="1:11">
      <c r="A465" t="s">
        <v>860</v>
      </c>
      <c r="B465">
        <v>480</v>
      </c>
      <c r="C465" t="s">
        <v>128</v>
      </c>
      <c r="D465" t="str">
        <f>"B2019V"</f>
        <v>B2019V</v>
      </c>
      <c r="E465" t="str">
        <f>"B2019V"</f>
        <v>B2019V</v>
      </c>
      <c r="F465" t="str">
        <f>"B2019V"</f>
        <v>B2019V</v>
      </c>
      <c r="G465" t="str">
        <f>"8032928003933"</f>
        <v>8032928003933</v>
      </c>
      <c r="H465" t="str">
        <f t="shared" si="7"/>
        <v>Normal</v>
      </c>
      <c r="I465">
        <v>464</v>
      </c>
      <c r="J465" t="s">
        <v>915</v>
      </c>
      <c r="K465" s="1" t="s">
        <v>916</v>
      </c>
    </row>
    <row r="466" spans="1:11">
      <c r="A466" t="s">
        <v>860</v>
      </c>
      <c r="B466">
        <v>480</v>
      </c>
      <c r="C466" t="s">
        <v>128</v>
      </c>
      <c r="D466" t="str">
        <f>"B2020V"</f>
        <v>B2020V</v>
      </c>
      <c r="E466" t="str">
        <f>"B2020V"</f>
        <v>B2020V</v>
      </c>
      <c r="F466" t="str">
        <f>"B2020V"</f>
        <v>B2020V</v>
      </c>
      <c r="G466" t="str">
        <f>"8032928035507"</f>
        <v>8032928035507</v>
      </c>
      <c r="H466" t="str">
        <f t="shared" si="7"/>
        <v>Normal</v>
      </c>
      <c r="I466">
        <v>465</v>
      </c>
      <c r="J466" t="s">
        <v>917</v>
      </c>
      <c r="K466" s="1" t="s">
        <v>918</v>
      </c>
    </row>
    <row r="467" spans="1:11">
      <c r="A467" t="s">
        <v>860</v>
      </c>
      <c r="B467">
        <v>480</v>
      </c>
      <c r="C467" t="s">
        <v>128</v>
      </c>
      <c r="D467" t="str">
        <f>"B2022V"</f>
        <v>B2022V</v>
      </c>
      <c r="E467" t="str">
        <f>"B2022V"</f>
        <v>B2022V</v>
      </c>
      <c r="F467" t="str">
        <f>"B2022V"</f>
        <v>B2022V</v>
      </c>
      <c r="G467" t="str">
        <f>"8032928035514"</f>
        <v>8032928035514</v>
      </c>
      <c r="H467" t="str">
        <f t="shared" si="7"/>
        <v>Normal</v>
      </c>
      <c r="I467">
        <v>466</v>
      </c>
      <c r="J467" t="s">
        <v>919</v>
      </c>
      <c r="K467" s="1" t="s">
        <v>920</v>
      </c>
    </row>
    <row r="468" spans="1:11">
      <c r="A468" t="s">
        <v>860</v>
      </c>
      <c r="B468">
        <v>480</v>
      </c>
      <c r="C468" t="s">
        <v>128</v>
      </c>
      <c r="D468" t="str">
        <f>"B2023V"</f>
        <v>B2023V</v>
      </c>
      <c r="E468" t="str">
        <f>"B2023V"</f>
        <v>B2023V</v>
      </c>
      <c r="F468" t="str">
        <f>"B2023V"</f>
        <v>B2023V</v>
      </c>
      <c r="G468" t="str">
        <f>"8032928035521"</f>
        <v>8032928035521</v>
      </c>
      <c r="H468" t="str">
        <f t="shared" si="7"/>
        <v>Normal</v>
      </c>
      <c r="I468">
        <v>467</v>
      </c>
      <c r="J468" t="s">
        <v>921</v>
      </c>
      <c r="K468" s="1" t="s">
        <v>922</v>
      </c>
    </row>
    <row r="469" spans="1:11">
      <c r="A469" t="s">
        <v>860</v>
      </c>
      <c r="B469">
        <v>480</v>
      </c>
      <c r="C469" t="s">
        <v>128</v>
      </c>
      <c r="D469" t="str">
        <f>"B2023VR"</f>
        <v>B2023VR</v>
      </c>
      <c r="E469" t="str">
        <f>"B2023VR"</f>
        <v>B2023VR</v>
      </c>
      <c r="F469" t="str">
        <f>"B2023VR"</f>
        <v>B2023VR</v>
      </c>
      <c r="G469" t="str">
        <f>"8032928137355"</f>
        <v>8032928137355</v>
      </c>
      <c r="H469" t="str">
        <f t="shared" si="7"/>
        <v>Normal</v>
      </c>
      <c r="I469">
        <v>468</v>
      </c>
      <c r="J469" t="s">
        <v>923</v>
      </c>
      <c r="K469" s="1" t="s">
        <v>924</v>
      </c>
    </row>
    <row r="470" spans="1:11">
      <c r="A470" t="s">
        <v>860</v>
      </c>
      <c r="B470">
        <v>480</v>
      </c>
      <c r="C470" t="s">
        <v>128</v>
      </c>
      <c r="D470" t="str">
        <f>"B2024V"</f>
        <v>B2024V</v>
      </c>
      <c r="E470" t="str">
        <f>"B2024V"</f>
        <v>B2024V</v>
      </c>
      <c r="F470" t="str">
        <f>"B2024V"</f>
        <v>B2024V</v>
      </c>
      <c r="G470" t="str">
        <f>"8032928035538"</f>
        <v>8032928035538</v>
      </c>
      <c r="H470" t="str">
        <f t="shared" si="7"/>
        <v>Normal</v>
      </c>
      <c r="I470">
        <v>469</v>
      </c>
      <c r="J470" t="s">
        <v>925</v>
      </c>
      <c r="K470" s="1" t="s">
        <v>926</v>
      </c>
    </row>
    <row r="471" spans="1:11">
      <c r="A471" t="s">
        <v>860</v>
      </c>
      <c r="B471">
        <v>480</v>
      </c>
      <c r="C471" t="s">
        <v>128</v>
      </c>
      <c r="D471" t="str">
        <f>"B2024VR"</f>
        <v>B2024VR</v>
      </c>
      <c r="E471" t="str">
        <f>"B2024VR"</f>
        <v>B2024VR</v>
      </c>
      <c r="F471" t="str">
        <f>"B2024VR"</f>
        <v>B2024VR</v>
      </c>
      <c r="G471" t="str">
        <f>"8032928150408"</f>
        <v>8032928150408</v>
      </c>
      <c r="H471" t="str">
        <f t="shared" si="7"/>
        <v>Normal</v>
      </c>
      <c r="I471">
        <v>470</v>
      </c>
      <c r="J471" t="s">
        <v>927</v>
      </c>
      <c r="K471" s="1" t="s">
        <v>928</v>
      </c>
    </row>
    <row r="472" spans="1:11">
      <c r="A472" t="s">
        <v>860</v>
      </c>
      <c r="B472">
        <v>480</v>
      </c>
      <c r="C472" t="s">
        <v>128</v>
      </c>
      <c r="D472" t="str">
        <f>"B2025V"</f>
        <v>B2025V</v>
      </c>
      <c r="E472" t="str">
        <f>"B2025V"</f>
        <v>B2025V</v>
      </c>
      <c r="F472" t="str">
        <f>"B2025V"</f>
        <v>B2025V</v>
      </c>
      <c r="G472" t="str">
        <f>"8032928035545"</f>
        <v>8032928035545</v>
      </c>
      <c r="H472" t="str">
        <f t="shared" si="7"/>
        <v>Normal</v>
      </c>
      <c r="I472">
        <v>471</v>
      </c>
      <c r="J472" t="s">
        <v>929</v>
      </c>
      <c r="K472" s="1" t="s">
        <v>930</v>
      </c>
    </row>
    <row r="473" spans="1:11">
      <c r="A473" t="s">
        <v>860</v>
      </c>
      <c r="B473">
        <v>480</v>
      </c>
      <c r="C473" t="s">
        <v>128</v>
      </c>
      <c r="D473" t="str">
        <f>"B2026V"</f>
        <v>B2026V</v>
      </c>
      <c r="E473" t="str">
        <f>"B2026V"</f>
        <v>B2026V</v>
      </c>
      <c r="F473" t="str">
        <f>"B2026V"</f>
        <v>B2026V</v>
      </c>
      <c r="G473" t="str">
        <f>"8032928035552"</f>
        <v>8032928035552</v>
      </c>
      <c r="H473" t="str">
        <f t="shared" si="7"/>
        <v>Normal</v>
      </c>
      <c r="I473">
        <v>472</v>
      </c>
      <c r="J473" t="s">
        <v>931</v>
      </c>
      <c r="K473" s="1" t="s">
        <v>932</v>
      </c>
    </row>
    <row r="474" spans="1:11">
      <c r="A474" t="s">
        <v>860</v>
      </c>
      <c r="B474">
        <v>480</v>
      </c>
      <c r="C474" t="s">
        <v>128</v>
      </c>
      <c r="D474" t="str">
        <f>"B2026VR"</f>
        <v>B2026VR</v>
      </c>
      <c r="E474" t="str">
        <f>"B2026VR"</f>
        <v>B2026VR</v>
      </c>
      <c r="F474" t="str">
        <f>"B2026VR"</f>
        <v>B2026VR</v>
      </c>
      <c r="G474" t="str">
        <f>"8032928136075"</f>
        <v>8032928136075</v>
      </c>
      <c r="H474" t="str">
        <f t="shared" si="7"/>
        <v>Normal</v>
      </c>
      <c r="I474">
        <v>473</v>
      </c>
      <c r="J474" t="s">
        <v>933</v>
      </c>
      <c r="K474" t="s">
        <v>934</v>
      </c>
    </row>
    <row r="475" spans="1:11">
      <c r="A475" t="s">
        <v>860</v>
      </c>
      <c r="B475">
        <v>480</v>
      </c>
      <c r="C475" t="s">
        <v>128</v>
      </c>
      <c r="D475" t="str">
        <f>"B2027V"</f>
        <v>B2027V</v>
      </c>
      <c r="E475" t="str">
        <f>"B2027V"</f>
        <v>B2027V</v>
      </c>
      <c r="F475" t="str">
        <f>"B2027V"</f>
        <v>B2027V</v>
      </c>
      <c r="G475" t="str">
        <f>"8032928035569"</f>
        <v>8032928035569</v>
      </c>
      <c r="H475" t="str">
        <f t="shared" si="7"/>
        <v>Normal</v>
      </c>
      <c r="I475">
        <v>474</v>
      </c>
      <c r="J475" t="s">
        <v>935</v>
      </c>
      <c r="K475" s="1" t="s">
        <v>936</v>
      </c>
    </row>
    <row r="476" spans="1:11">
      <c r="A476" t="s">
        <v>860</v>
      </c>
      <c r="B476">
        <v>480</v>
      </c>
      <c r="C476" t="s">
        <v>128</v>
      </c>
      <c r="D476" t="str">
        <f>"B2029V"</f>
        <v>B2029V</v>
      </c>
      <c r="E476" t="str">
        <f>"B2029V"</f>
        <v>B2029V</v>
      </c>
      <c r="F476" t="str">
        <f>"B2029V"</f>
        <v>B2029V</v>
      </c>
      <c r="G476" t="str">
        <f>"8032928039611"</f>
        <v>8032928039611</v>
      </c>
      <c r="H476" t="str">
        <f t="shared" si="7"/>
        <v>Normal</v>
      </c>
      <c r="I476">
        <v>475</v>
      </c>
      <c r="J476" t="s">
        <v>937</v>
      </c>
      <c r="K476" s="1" t="s">
        <v>938</v>
      </c>
    </row>
    <row r="477" spans="1:11">
      <c r="A477" t="s">
        <v>860</v>
      </c>
      <c r="B477">
        <v>480</v>
      </c>
      <c r="C477" t="s">
        <v>128</v>
      </c>
      <c r="D477" t="str">
        <f>"B2030V"</f>
        <v>B2030V</v>
      </c>
      <c r="E477" t="str">
        <f>"B2030V"</f>
        <v>B2030V</v>
      </c>
      <c r="F477" t="str">
        <f>"B2030V"</f>
        <v>B2030V</v>
      </c>
      <c r="G477" t="str">
        <f>"8032928036436"</f>
        <v>8032928036436</v>
      </c>
      <c r="H477" t="str">
        <f t="shared" si="7"/>
        <v>Normal</v>
      </c>
      <c r="I477">
        <v>476</v>
      </c>
      <c r="J477" t="s">
        <v>939</v>
      </c>
      <c r="K477" s="1" t="s">
        <v>940</v>
      </c>
    </row>
    <row r="478" spans="1:11">
      <c r="A478" t="s">
        <v>860</v>
      </c>
      <c r="B478">
        <v>480</v>
      </c>
      <c r="C478" t="s">
        <v>128</v>
      </c>
      <c r="D478" t="str">
        <f>"B2032V"</f>
        <v>B2032V</v>
      </c>
      <c r="E478" t="str">
        <f>"B2032V"</f>
        <v>B2032V</v>
      </c>
      <c r="F478" t="str">
        <f>"B2032V"</f>
        <v>B2032V</v>
      </c>
      <c r="G478" t="str">
        <f>"8032928073080"</f>
        <v>8032928073080</v>
      </c>
      <c r="H478" t="str">
        <f t="shared" si="7"/>
        <v>Normal</v>
      </c>
      <c r="I478">
        <v>477</v>
      </c>
      <c r="J478" t="s">
        <v>941</v>
      </c>
      <c r="K478" s="1" t="s">
        <v>942</v>
      </c>
    </row>
    <row r="479" spans="1:11">
      <c r="A479" t="s">
        <v>860</v>
      </c>
      <c r="B479">
        <v>480</v>
      </c>
      <c r="C479" t="s">
        <v>128</v>
      </c>
      <c r="D479" t="str">
        <f>"B2034V"</f>
        <v>B2034V</v>
      </c>
      <c r="E479" t="str">
        <f>"B2034V"</f>
        <v>B2034V</v>
      </c>
      <c r="F479" t="str">
        <f>"B2034V"</f>
        <v>B2034V</v>
      </c>
      <c r="G479" t="str">
        <f>"8032928073103"</f>
        <v>8032928073103</v>
      </c>
      <c r="H479" t="str">
        <f t="shared" si="7"/>
        <v>Normal</v>
      </c>
      <c r="I479">
        <v>478</v>
      </c>
      <c r="J479" t="s">
        <v>943</v>
      </c>
      <c r="K479" s="1" t="s">
        <v>944</v>
      </c>
    </row>
    <row r="480" spans="1:11">
      <c r="A480" t="s">
        <v>860</v>
      </c>
      <c r="B480">
        <v>480</v>
      </c>
      <c r="C480" t="s">
        <v>128</v>
      </c>
      <c r="D480" t="str">
        <f>"B2035V"</f>
        <v>B2035V</v>
      </c>
      <c r="E480" t="str">
        <f>"B2035V"</f>
        <v>B2035V</v>
      </c>
      <c r="F480" t="str">
        <f>"B2035V"</f>
        <v>B2035V</v>
      </c>
      <c r="G480" t="str">
        <f>"8032928073110"</f>
        <v>8032928073110</v>
      </c>
      <c r="H480" t="str">
        <f t="shared" ref="H480:H543" si="8">"Normal"</f>
        <v>Normal</v>
      </c>
      <c r="I480">
        <v>479</v>
      </c>
      <c r="J480" t="s">
        <v>945</v>
      </c>
      <c r="K480" s="1" t="s">
        <v>946</v>
      </c>
    </row>
    <row r="481" spans="1:11">
      <c r="A481" t="s">
        <v>860</v>
      </c>
      <c r="B481">
        <v>480</v>
      </c>
      <c r="C481" t="s">
        <v>128</v>
      </c>
      <c r="D481" t="str">
        <f>"B2036V"</f>
        <v>B2036V</v>
      </c>
      <c r="E481" t="str">
        <f>"B2036V"</f>
        <v>B2036V</v>
      </c>
      <c r="F481" t="str">
        <f>"B2036V"</f>
        <v>B2036V</v>
      </c>
      <c r="G481" t="str">
        <f>"8032928073189"</f>
        <v>8032928073189</v>
      </c>
      <c r="H481" t="str">
        <f t="shared" si="8"/>
        <v>Normal</v>
      </c>
      <c r="I481">
        <v>480</v>
      </c>
      <c r="J481" t="s">
        <v>947</v>
      </c>
      <c r="K481" t="s">
        <v>948</v>
      </c>
    </row>
    <row r="482" spans="1:11">
      <c r="A482" t="s">
        <v>860</v>
      </c>
      <c r="B482">
        <v>480</v>
      </c>
      <c r="C482" t="s">
        <v>128</v>
      </c>
      <c r="D482" t="str">
        <f>"B2037V"</f>
        <v>B2037V</v>
      </c>
      <c r="E482" t="str">
        <f>"B2037V"</f>
        <v>B2037V</v>
      </c>
      <c r="F482" t="str">
        <f>"B2037V"</f>
        <v>B2037V</v>
      </c>
      <c r="G482" t="str">
        <f>"8032928073196"</f>
        <v>8032928073196</v>
      </c>
      <c r="H482" t="str">
        <f t="shared" si="8"/>
        <v>Normal</v>
      </c>
      <c r="I482">
        <v>481</v>
      </c>
      <c r="J482" t="s">
        <v>949</v>
      </c>
      <c r="K482" s="1" t="s">
        <v>950</v>
      </c>
    </row>
    <row r="483" spans="1:11">
      <c r="A483" t="s">
        <v>860</v>
      </c>
      <c r="B483">
        <v>480</v>
      </c>
      <c r="C483" t="s">
        <v>128</v>
      </c>
      <c r="D483" t="str">
        <f>"B2038V"</f>
        <v>B2038V</v>
      </c>
      <c r="E483" t="str">
        <f>"B2038V"</f>
        <v>B2038V</v>
      </c>
      <c r="F483" t="str">
        <f>"B2038V"</f>
        <v>B2038V</v>
      </c>
      <c r="G483" t="str">
        <f>"8032928084659"</f>
        <v>8032928084659</v>
      </c>
      <c r="H483" t="str">
        <f t="shared" si="8"/>
        <v>Normal</v>
      </c>
      <c r="I483">
        <v>482</v>
      </c>
      <c r="J483" t="s">
        <v>951</v>
      </c>
      <c r="K483" s="1" t="s">
        <v>952</v>
      </c>
    </row>
    <row r="484" spans="1:11">
      <c r="A484" t="s">
        <v>860</v>
      </c>
      <c r="B484">
        <v>480</v>
      </c>
      <c r="C484" t="s">
        <v>128</v>
      </c>
      <c r="D484" t="str">
        <f>"B2039V"</f>
        <v>B2039V</v>
      </c>
      <c r="E484" t="str">
        <f>"B2039V"</f>
        <v>B2039V</v>
      </c>
      <c r="F484" t="str">
        <f>"B2039V"</f>
        <v>B2039V</v>
      </c>
      <c r="G484" t="str">
        <f>"8032928084666"</f>
        <v>8032928084666</v>
      </c>
      <c r="H484" t="str">
        <f t="shared" si="8"/>
        <v>Normal</v>
      </c>
      <c r="I484">
        <v>483</v>
      </c>
      <c r="J484" t="s">
        <v>953</v>
      </c>
      <c r="K484" s="1" t="s">
        <v>954</v>
      </c>
    </row>
    <row r="485" spans="1:11">
      <c r="A485" t="s">
        <v>860</v>
      </c>
      <c r="B485">
        <v>480</v>
      </c>
      <c r="C485" t="s">
        <v>128</v>
      </c>
      <c r="D485" t="str">
        <f>"B2040V"</f>
        <v>B2040V</v>
      </c>
      <c r="E485" t="str">
        <f>"B2040V"</f>
        <v>B2040V</v>
      </c>
      <c r="F485" t="str">
        <f>"B2040V"</f>
        <v>B2040V</v>
      </c>
      <c r="G485" t="str">
        <f>"8032928088169"</f>
        <v>8032928088169</v>
      </c>
      <c r="H485" t="str">
        <f t="shared" si="8"/>
        <v>Normal</v>
      </c>
      <c r="I485">
        <v>484</v>
      </c>
      <c r="J485" t="s">
        <v>955</v>
      </c>
      <c r="K485" s="1" t="s">
        <v>956</v>
      </c>
    </row>
    <row r="486" spans="1:11">
      <c r="A486" t="s">
        <v>860</v>
      </c>
      <c r="B486">
        <v>480</v>
      </c>
      <c r="C486" t="s">
        <v>128</v>
      </c>
      <c r="D486" t="str">
        <f>"B2041P"</f>
        <v>B2041P</v>
      </c>
      <c r="E486" t="str">
        <f>"B2041P"</f>
        <v>B2041P</v>
      </c>
      <c r="F486" t="str">
        <f>"B2041P"</f>
        <v>B2041P</v>
      </c>
      <c r="G486" t="str">
        <f>"8032532069486"</f>
        <v>8032532069486</v>
      </c>
      <c r="H486" t="str">
        <f t="shared" si="8"/>
        <v>Normal</v>
      </c>
      <c r="I486">
        <v>485</v>
      </c>
      <c r="J486" t="s">
        <v>957</v>
      </c>
      <c r="K486" s="1" t="s">
        <v>958</v>
      </c>
    </row>
    <row r="487" spans="1:11">
      <c r="A487" t="s">
        <v>860</v>
      </c>
      <c r="B487">
        <v>480</v>
      </c>
      <c r="C487" t="s">
        <v>128</v>
      </c>
      <c r="D487" t="str">
        <f>"B2042V"</f>
        <v>B2042V</v>
      </c>
      <c r="E487" t="str">
        <f>"B2042V"</f>
        <v>B2042V</v>
      </c>
      <c r="F487" t="str">
        <f>"B2042V"</f>
        <v>B2042V</v>
      </c>
      <c r="G487" t="str">
        <f>"8032928096256"</f>
        <v>8032928096256</v>
      </c>
      <c r="H487" t="str">
        <f t="shared" si="8"/>
        <v>Normal</v>
      </c>
      <c r="I487">
        <v>486</v>
      </c>
      <c r="J487" t="s">
        <v>959</v>
      </c>
      <c r="K487" t="s">
        <v>960</v>
      </c>
    </row>
    <row r="488" spans="1:11">
      <c r="A488" t="s">
        <v>860</v>
      </c>
      <c r="B488">
        <v>480</v>
      </c>
      <c r="C488" t="s">
        <v>128</v>
      </c>
      <c r="D488" t="str">
        <f>"B2043V"</f>
        <v>B2043V</v>
      </c>
      <c r="E488" t="str">
        <f>"B2043V"</f>
        <v>B2043V</v>
      </c>
      <c r="F488" t="str">
        <f>"B2043V"</f>
        <v>B2043V</v>
      </c>
      <c r="G488" t="str">
        <f>"8032928096263"</f>
        <v>8032928096263</v>
      </c>
      <c r="H488" t="str">
        <f t="shared" si="8"/>
        <v>Normal</v>
      </c>
      <c r="I488">
        <v>487</v>
      </c>
      <c r="J488" t="s">
        <v>961</v>
      </c>
      <c r="K488" t="s">
        <v>962</v>
      </c>
    </row>
    <row r="489" spans="1:11">
      <c r="A489" t="s">
        <v>860</v>
      </c>
      <c r="B489">
        <v>480</v>
      </c>
      <c r="C489" t="s">
        <v>128</v>
      </c>
      <c r="D489" t="str">
        <f>"B2044V"</f>
        <v>B2044V</v>
      </c>
      <c r="E489" t="str">
        <f>"B2044V"</f>
        <v>B2044V</v>
      </c>
      <c r="F489" t="str">
        <f>"B2044V"</f>
        <v>B2044V</v>
      </c>
      <c r="G489" t="str">
        <f>"8032928096270"</f>
        <v>8032928096270</v>
      </c>
      <c r="H489" t="str">
        <f t="shared" si="8"/>
        <v>Normal</v>
      </c>
      <c r="I489">
        <v>488</v>
      </c>
      <c r="J489" t="s">
        <v>963</v>
      </c>
      <c r="K489" t="s">
        <v>964</v>
      </c>
    </row>
    <row r="490" spans="1:11">
      <c r="A490" t="s">
        <v>860</v>
      </c>
      <c r="B490">
        <v>480</v>
      </c>
      <c r="C490" t="s">
        <v>128</v>
      </c>
      <c r="D490" t="str">
        <f>"B2045V"</f>
        <v>B2045V</v>
      </c>
      <c r="E490" t="str">
        <f>"B2045V"</f>
        <v>B2045V</v>
      </c>
      <c r="F490" t="str">
        <f>"B2045V"</f>
        <v>B2045V</v>
      </c>
      <c r="G490" t="str">
        <f>"8032928096287"</f>
        <v>8032928096287</v>
      </c>
      <c r="H490" t="str">
        <f t="shared" si="8"/>
        <v>Normal</v>
      </c>
      <c r="I490">
        <v>489</v>
      </c>
      <c r="J490" t="s">
        <v>965</v>
      </c>
      <c r="K490" t="s">
        <v>966</v>
      </c>
    </row>
    <row r="491" spans="1:11">
      <c r="A491" t="s">
        <v>860</v>
      </c>
      <c r="B491">
        <v>480</v>
      </c>
      <c r="C491" t="s">
        <v>128</v>
      </c>
      <c r="D491" t="str">
        <f>"B2046V"</f>
        <v>B2046V</v>
      </c>
      <c r="E491" t="str">
        <f>"B2046V"</f>
        <v>B2046V</v>
      </c>
      <c r="F491" t="str">
        <f>"B2046V"</f>
        <v>B2046V</v>
      </c>
      <c r="G491" t="str">
        <f>"8032928096294"</f>
        <v>8032928096294</v>
      </c>
      <c r="H491" t="str">
        <f t="shared" si="8"/>
        <v>Normal</v>
      </c>
      <c r="I491">
        <v>490</v>
      </c>
      <c r="J491" t="s">
        <v>967</v>
      </c>
      <c r="K491" t="s">
        <v>968</v>
      </c>
    </row>
    <row r="492" spans="1:11">
      <c r="A492" t="s">
        <v>467</v>
      </c>
      <c r="B492">
        <v>480</v>
      </c>
      <c r="C492" t="s">
        <v>128</v>
      </c>
      <c r="D492" t="str">
        <f>"6T48176"</f>
        <v>6T48176</v>
      </c>
      <c r="E492" t="str">
        <f>"6T48176"</f>
        <v>6T48176</v>
      </c>
      <c r="F492" t="str">
        <f>"6T48176"</f>
        <v>6T48176</v>
      </c>
      <c r="G492" t="str">
        <f>"8032928091688"</f>
        <v>8032928091688</v>
      </c>
      <c r="H492" t="str">
        <f t="shared" si="8"/>
        <v>Normal</v>
      </c>
      <c r="I492">
        <v>491</v>
      </c>
      <c r="J492" t="s">
        <v>969</v>
      </c>
      <c r="K492" t="s">
        <v>970</v>
      </c>
    </row>
    <row r="493" spans="1:11">
      <c r="A493" t="s">
        <v>467</v>
      </c>
      <c r="B493">
        <v>480</v>
      </c>
      <c r="C493" t="s">
        <v>128</v>
      </c>
      <c r="D493" t="str">
        <f>"6T48177"</f>
        <v>6T48177</v>
      </c>
      <c r="E493" t="str">
        <f>"6T48177"</f>
        <v>6T48177</v>
      </c>
      <c r="F493" t="str">
        <f>"6T48177"</f>
        <v>6T48177</v>
      </c>
      <c r="G493" t="str">
        <f>"8032928091695"</f>
        <v>8032928091695</v>
      </c>
      <c r="H493" t="str">
        <f t="shared" si="8"/>
        <v>Normal</v>
      </c>
      <c r="I493">
        <v>492</v>
      </c>
      <c r="J493" t="s">
        <v>971</v>
      </c>
      <c r="K493" t="s">
        <v>972</v>
      </c>
    </row>
    <row r="494" spans="1:11">
      <c r="A494" t="s">
        <v>467</v>
      </c>
      <c r="B494">
        <v>480</v>
      </c>
      <c r="C494" t="s">
        <v>128</v>
      </c>
      <c r="D494" t="str">
        <f>"6T48180"</f>
        <v>6T48180</v>
      </c>
      <c r="E494" t="str">
        <f>"6T48180"</f>
        <v>6T48180</v>
      </c>
      <c r="F494" t="str">
        <f>"6T48180"</f>
        <v>6T48180</v>
      </c>
      <c r="G494" t="str">
        <f>"8032928091725"</f>
        <v>8032928091725</v>
      </c>
      <c r="H494" t="str">
        <f t="shared" si="8"/>
        <v>Normal</v>
      </c>
      <c r="I494">
        <v>493</v>
      </c>
      <c r="J494" t="s">
        <v>973</v>
      </c>
      <c r="K494" t="s">
        <v>974</v>
      </c>
    </row>
    <row r="495" spans="1:11">
      <c r="A495" t="s">
        <v>467</v>
      </c>
      <c r="B495">
        <v>480</v>
      </c>
      <c r="C495" t="s">
        <v>128</v>
      </c>
      <c r="D495" t="str">
        <f>"6T48193"</f>
        <v>6T48193</v>
      </c>
      <c r="E495" t="str">
        <f>"6T48193"</f>
        <v>6T48193</v>
      </c>
      <c r="F495" t="str">
        <f>"6T48193"</f>
        <v>6T48193</v>
      </c>
      <c r="G495" t="str">
        <f>"8032928091848"</f>
        <v>8032928091848</v>
      </c>
      <c r="H495" t="str">
        <f t="shared" si="8"/>
        <v>Normal</v>
      </c>
      <c r="I495">
        <v>494</v>
      </c>
      <c r="J495" t="s">
        <v>975</v>
      </c>
      <c r="K495" t="s">
        <v>976</v>
      </c>
    </row>
    <row r="496" spans="1:11">
      <c r="A496" t="s">
        <v>467</v>
      </c>
      <c r="B496">
        <v>480</v>
      </c>
      <c r="C496" t="s">
        <v>128</v>
      </c>
      <c r="D496" t="str">
        <f>"6T48194"</f>
        <v>6T48194</v>
      </c>
      <c r="E496" t="str">
        <f>"6T48194"</f>
        <v>6T48194</v>
      </c>
      <c r="F496" t="str">
        <f>"6T48194"</f>
        <v>6T48194</v>
      </c>
      <c r="G496" t="str">
        <f>"8032928091855"</f>
        <v>8032928091855</v>
      </c>
      <c r="H496" t="str">
        <f t="shared" si="8"/>
        <v>Normal</v>
      </c>
      <c r="I496">
        <v>495</v>
      </c>
      <c r="J496" t="s">
        <v>977</v>
      </c>
      <c r="K496" t="s">
        <v>978</v>
      </c>
    </row>
    <row r="497" spans="1:11">
      <c r="A497" t="s">
        <v>467</v>
      </c>
      <c r="B497">
        <v>480</v>
      </c>
      <c r="C497" t="s">
        <v>128</v>
      </c>
      <c r="D497" t="str">
        <f>"6T48195"</f>
        <v>6T48195</v>
      </c>
      <c r="E497" t="str">
        <f>"6T48195"</f>
        <v>6T48195</v>
      </c>
      <c r="F497" t="str">
        <f>"6T48195"</f>
        <v>6T48195</v>
      </c>
      <c r="G497" t="str">
        <f>"8032928091862"</f>
        <v>8032928091862</v>
      </c>
      <c r="H497" t="str">
        <f t="shared" si="8"/>
        <v>Normal</v>
      </c>
      <c r="I497">
        <v>496</v>
      </c>
      <c r="J497" t="s">
        <v>979</v>
      </c>
      <c r="K497" t="s">
        <v>980</v>
      </c>
    </row>
    <row r="498" spans="1:11">
      <c r="A498" t="s">
        <v>467</v>
      </c>
      <c r="B498">
        <v>480</v>
      </c>
      <c r="C498" t="s">
        <v>128</v>
      </c>
      <c r="D498" t="str">
        <f>"6T48196"</f>
        <v>6T48196</v>
      </c>
      <c r="E498" t="str">
        <f>"6T48196"</f>
        <v>6T48196</v>
      </c>
      <c r="F498" t="str">
        <f>"6T48196"</f>
        <v>6T48196</v>
      </c>
      <c r="G498" t="str">
        <f>"8032928091879"</f>
        <v>8032928091879</v>
      </c>
      <c r="H498" t="str">
        <f t="shared" si="8"/>
        <v>Normal</v>
      </c>
      <c r="I498">
        <v>497</v>
      </c>
      <c r="J498" t="s">
        <v>981</v>
      </c>
      <c r="K498" t="s">
        <v>982</v>
      </c>
    </row>
    <row r="499" spans="1:11">
      <c r="A499" t="s">
        <v>467</v>
      </c>
      <c r="B499">
        <v>480</v>
      </c>
      <c r="C499" t="s">
        <v>128</v>
      </c>
      <c r="D499" t="str">
        <f>"6T48199"</f>
        <v>6T48199</v>
      </c>
      <c r="E499" t="str">
        <f>"6T48199"</f>
        <v>6T48199</v>
      </c>
      <c r="F499" t="str">
        <f>"6T48199"</f>
        <v>6T48199</v>
      </c>
      <c r="G499" t="str">
        <f>"8032928091909"</f>
        <v>8032928091909</v>
      </c>
      <c r="H499" t="str">
        <f t="shared" si="8"/>
        <v>Normal</v>
      </c>
      <c r="I499">
        <v>498</v>
      </c>
      <c r="J499" t="s">
        <v>983</v>
      </c>
      <c r="K499" t="s">
        <v>984</v>
      </c>
    </row>
    <row r="500" spans="1:11">
      <c r="A500" t="s">
        <v>467</v>
      </c>
      <c r="B500">
        <v>480</v>
      </c>
      <c r="C500" t="s">
        <v>128</v>
      </c>
      <c r="D500" t="str">
        <f>"6T48200"</f>
        <v>6T48200</v>
      </c>
      <c r="E500" t="str">
        <f>"6T48200"</f>
        <v>6T48200</v>
      </c>
      <c r="F500" t="str">
        <f>"6T48200"</f>
        <v>6T48200</v>
      </c>
      <c r="G500" t="str">
        <f>"8032928091916"</f>
        <v>8032928091916</v>
      </c>
      <c r="H500" t="str">
        <f t="shared" si="8"/>
        <v>Normal</v>
      </c>
      <c r="I500">
        <v>499</v>
      </c>
      <c r="J500" t="s">
        <v>985</v>
      </c>
      <c r="K500" t="s">
        <v>986</v>
      </c>
    </row>
    <row r="501" spans="1:11">
      <c r="A501" t="s">
        <v>467</v>
      </c>
      <c r="B501">
        <v>480</v>
      </c>
      <c r="C501" t="s">
        <v>128</v>
      </c>
      <c r="D501" t="str">
        <f>"6T48201"</f>
        <v>6T48201</v>
      </c>
      <c r="E501" t="str">
        <f>"6T48201"</f>
        <v>6T48201</v>
      </c>
      <c r="F501" t="str">
        <f>"6T48201"</f>
        <v>6T48201</v>
      </c>
      <c r="G501" t="str">
        <f>"8032928091923"</f>
        <v>8032928091923</v>
      </c>
      <c r="H501" t="str">
        <f t="shared" si="8"/>
        <v>Normal</v>
      </c>
      <c r="I501">
        <v>500</v>
      </c>
      <c r="J501" t="s">
        <v>987</v>
      </c>
      <c r="K501" t="s">
        <v>988</v>
      </c>
    </row>
    <row r="502" spans="1:11">
      <c r="A502" t="s">
        <v>467</v>
      </c>
      <c r="B502">
        <v>480</v>
      </c>
      <c r="C502" t="s">
        <v>128</v>
      </c>
      <c r="D502" t="str">
        <f>"6T48229"</f>
        <v>6T48229</v>
      </c>
      <c r="E502" t="str">
        <f>"6T48229"</f>
        <v>6T48229</v>
      </c>
      <c r="F502" t="str">
        <f>"6T48229"</f>
        <v>6T48229</v>
      </c>
      <c r="G502" t="str">
        <f>"8032928092203"</f>
        <v>8032928092203</v>
      </c>
      <c r="H502" t="str">
        <f t="shared" si="8"/>
        <v>Normal</v>
      </c>
      <c r="I502">
        <v>501</v>
      </c>
      <c r="J502" t="s">
        <v>989</v>
      </c>
      <c r="K502" s="1" t="s">
        <v>990</v>
      </c>
    </row>
    <row r="503" spans="1:11">
      <c r="A503" t="s">
        <v>467</v>
      </c>
      <c r="B503">
        <v>480</v>
      </c>
      <c r="C503" t="s">
        <v>128</v>
      </c>
      <c r="D503" t="str">
        <f>"6T48231"</f>
        <v>6T48231</v>
      </c>
      <c r="E503" t="str">
        <f>"6T48231"</f>
        <v>6T48231</v>
      </c>
      <c r="F503" t="str">
        <f>"6T48231"</f>
        <v>6T48231</v>
      </c>
      <c r="G503" t="str">
        <f>"8032928092227"</f>
        <v>8032928092227</v>
      </c>
      <c r="H503" t="str">
        <f t="shared" si="8"/>
        <v>Normal</v>
      </c>
      <c r="I503">
        <v>502</v>
      </c>
      <c r="J503" t="s">
        <v>991</v>
      </c>
      <c r="K503" s="1" t="s">
        <v>992</v>
      </c>
    </row>
    <row r="504" spans="1:11">
      <c r="A504" t="s">
        <v>467</v>
      </c>
      <c r="B504">
        <v>480</v>
      </c>
      <c r="C504" t="s">
        <v>128</v>
      </c>
      <c r="D504" t="str">
        <f>"6T48243"</f>
        <v>6T48243</v>
      </c>
      <c r="E504" t="str">
        <f>"6T48243"</f>
        <v>6T48243</v>
      </c>
      <c r="F504" t="str">
        <f>"6T48243"</f>
        <v>6T48243</v>
      </c>
      <c r="G504" t="str">
        <f>"8032928092326"</f>
        <v>8032928092326</v>
      </c>
      <c r="H504" t="str">
        <f t="shared" si="8"/>
        <v>Normal</v>
      </c>
      <c r="I504">
        <v>503</v>
      </c>
      <c r="J504" t="s">
        <v>993</v>
      </c>
      <c r="K504" t="s">
        <v>994</v>
      </c>
    </row>
    <row r="505" spans="1:11">
      <c r="A505" t="s">
        <v>467</v>
      </c>
      <c r="B505">
        <v>480</v>
      </c>
      <c r="C505" t="s">
        <v>128</v>
      </c>
      <c r="D505" t="str">
        <f>"6T48259"</f>
        <v>6T48259</v>
      </c>
      <c r="E505" t="str">
        <f>"6T48259"</f>
        <v>6T48259</v>
      </c>
      <c r="F505" t="str">
        <f>"6T48259"</f>
        <v>6T48259</v>
      </c>
      <c r="G505" t="str">
        <f>"8032928092487"</f>
        <v>8032928092487</v>
      </c>
      <c r="H505" t="str">
        <f t="shared" si="8"/>
        <v>Normal</v>
      </c>
      <c r="I505">
        <v>504</v>
      </c>
      <c r="J505" t="s">
        <v>995</v>
      </c>
      <c r="K505" t="s">
        <v>996</v>
      </c>
    </row>
    <row r="506" spans="1:11">
      <c r="A506" t="s">
        <v>467</v>
      </c>
      <c r="B506">
        <v>480</v>
      </c>
      <c r="C506" t="s">
        <v>128</v>
      </c>
      <c r="D506" t="str">
        <f>"6T48266"</f>
        <v>6T48266</v>
      </c>
      <c r="E506" t="str">
        <f>"6T48266"</f>
        <v>6T48266</v>
      </c>
      <c r="F506" t="str">
        <f>"6T48266"</f>
        <v>6T48266</v>
      </c>
      <c r="G506" t="str">
        <f>"8032928092555"</f>
        <v>8032928092555</v>
      </c>
      <c r="H506" t="str">
        <f t="shared" si="8"/>
        <v>Normal</v>
      </c>
      <c r="I506">
        <v>505</v>
      </c>
      <c r="J506" t="s">
        <v>997</v>
      </c>
      <c r="K506" t="s">
        <v>998</v>
      </c>
    </row>
    <row r="507" spans="1:11">
      <c r="A507" t="s">
        <v>467</v>
      </c>
      <c r="B507">
        <v>480</v>
      </c>
      <c r="C507" t="s">
        <v>128</v>
      </c>
      <c r="D507" t="str">
        <f>"6T48267"</f>
        <v>6T48267</v>
      </c>
      <c r="E507" t="str">
        <f>"6T48267"</f>
        <v>6T48267</v>
      </c>
      <c r="F507" t="str">
        <f>"6T48267"</f>
        <v>6T48267</v>
      </c>
      <c r="G507" t="str">
        <f>"8032928092562"</f>
        <v>8032928092562</v>
      </c>
      <c r="H507" t="str">
        <f t="shared" si="8"/>
        <v>Normal</v>
      </c>
      <c r="I507">
        <v>506</v>
      </c>
      <c r="J507" t="s">
        <v>999</v>
      </c>
      <c r="K507" t="s">
        <v>1000</v>
      </c>
    </row>
    <row r="508" spans="1:11">
      <c r="A508" t="s">
        <v>467</v>
      </c>
      <c r="B508">
        <v>480</v>
      </c>
      <c r="C508" t="s">
        <v>128</v>
      </c>
      <c r="D508" t="str">
        <f>"6T48298"</f>
        <v>6T48298</v>
      </c>
      <c r="E508" t="str">
        <f>"6T48298"</f>
        <v>6T48298</v>
      </c>
      <c r="F508" t="str">
        <f>"6T48298"</f>
        <v>6T48298</v>
      </c>
      <c r="G508" t="str">
        <f>"8032928124225"</f>
        <v>8032928124225</v>
      </c>
      <c r="H508" t="str">
        <f t="shared" si="8"/>
        <v>Normal</v>
      </c>
      <c r="I508">
        <v>507</v>
      </c>
      <c r="J508" t="s">
        <v>1001</v>
      </c>
      <c r="K508" t="s">
        <v>1002</v>
      </c>
    </row>
    <row r="509" spans="1:11">
      <c r="A509" t="s">
        <v>467</v>
      </c>
      <c r="B509">
        <v>480</v>
      </c>
      <c r="C509" t="s">
        <v>128</v>
      </c>
      <c r="D509" t="str">
        <f>"6T48299"</f>
        <v>6T48299</v>
      </c>
      <c r="E509" t="str">
        <f>"6T48299"</f>
        <v>6T48299</v>
      </c>
      <c r="F509" t="str">
        <f>"6T48299"</f>
        <v>6T48299</v>
      </c>
      <c r="G509" t="str">
        <f>"8032928124232"</f>
        <v>8032928124232</v>
      </c>
      <c r="H509" t="str">
        <f t="shared" si="8"/>
        <v>Normal</v>
      </c>
      <c r="I509">
        <v>508</v>
      </c>
      <c r="J509" t="s">
        <v>1003</v>
      </c>
      <c r="K509" t="s">
        <v>1004</v>
      </c>
    </row>
    <row r="510" spans="1:11">
      <c r="A510" t="s">
        <v>467</v>
      </c>
      <c r="B510">
        <v>480</v>
      </c>
      <c r="C510" t="s">
        <v>128</v>
      </c>
      <c r="D510" t="str">
        <f>"6T48300"</f>
        <v>6T48300</v>
      </c>
      <c r="E510" t="str">
        <f>"6T48300"</f>
        <v>6T48300</v>
      </c>
      <c r="F510" t="str">
        <f>"6T48300"</f>
        <v>6T48300</v>
      </c>
      <c r="G510" t="str">
        <f>"8032928124249"</f>
        <v>8032928124249</v>
      </c>
      <c r="H510" t="str">
        <f t="shared" si="8"/>
        <v>Normal</v>
      </c>
      <c r="I510">
        <v>509</v>
      </c>
      <c r="J510" t="s">
        <v>1005</v>
      </c>
      <c r="K510" t="s">
        <v>1006</v>
      </c>
    </row>
    <row r="511" spans="1:11">
      <c r="A511" t="s">
        <v>467</v>
      </c>
      <c r="B511">
        <v>480</v>
      </c>
      <c r="C511" t="s">
        <v>128</v>
      </c>
      <c r="D511" t="str">
        <f>"6T48303"</f>
        <v>6T48303</v>
      </c>
      <c r="E511" t="str">
        <f>"6T48303"</f>
        <v>6T48303</v>
      </c>
      <c r="F511" t="str">
        <f>"6T48303"</f>
        <v>6T48303</v>
      </c>
      <c r="G511" t="str">
        <f>"8032928124270"</f>
        <v>8032928124270</v>
      </c>
      <c r="H511" t="str">
        <f t="shared" si="8"/>
        <v>Normal</v>
      </c>
      <c r="I511">
        <v>510</v>
      </c>
      <c r="J511" t="s">
        <v>1007</v>
      </c>
      <c r="K511" t="s">
        <v>1008</v>
      </c>
    </row>
    <row r="512" spans="1:11">
      <c r="A512" t="s">
        <v>467</v>
      </c>
      <c r="B512">
        <v>480</v>
      </c>
      <c r="C512" t="s">
        <v>128</v>
      </c>
      <c r="D512" t="str">
        <f>"6T48304"</f>
        <v>6T48304</v>
      </c>
      <c r="E512" t="str">
        <f>"6T48304"</f>
        <v>6T48304</v>
      </c>
      <c r="F512" t="str">
        <f>"6T48304"</f>
        <v>6T48304</v>
      </c>
      <c r="G512" t="str">
        <f>"8032928124287"</f>
        <v>8032928124287</v>
      </c>
      <c r="H512" t="str">
        <f t="shared" si="8"/>
        <v>Normal</v>
      </c>
      <c r="I512">
        <v>511</v>
      </c>
      <c r="J512" t="s">
        <v>1009</v>
      </c>
      <c r="K512" t="s">
        <v>1010</v>
      </c>
    </row>
    <row r="513" spans="1:11">
      <c r="A513" t="s">
        <v>467</v>
      </c>
      <c r="B513">
        <v>480</v>
      </c>
      <c r="C513" t="s">
        <v>128</v>
      </c>
      <c r="D513" t="str">
        <f>"6T48305"</f>
        <v>6T48305</v>
      </c>
      <c r="E513" t="str">
        <f>"6T48305"</f>
        <v>6T48305</v>
      </c>
      <c r="F513" t="str">
        <f>"6T48305"</f>
        <v>6T48305</v>
      </c>
      <c r="G513" t="str">
        <f>"8032928124294"</f>
        <v>8032928124294</v>
      </c>
      <c r="H513" t="str">
        <f t="shared" si="8"/>
        <v>Normal</v>
      </c>
      <c r="I513">
        <v>512</v>
      </c>
      <c r="J513" t="s">
        <v>1011</v>
      </c>
      <c r="K513" t="s">
        <v>1012</v>
      </c>
    </row>
    <row r="514" spans="1:11">
      <c r="A514" t="s">
        <v>467</v>
      </c>
      <c r="B514">
        <v>480</v>
      </c>
      <c r="C514" t="s">
        <v>128</v>
      </c>
      <c r="D514" t="str">
        <f>"6T48308"</f>
        <v>6T48308</v>
      </c>
      <c r="E514" t="str">
        <f>"6T48308"</f>
        <v>6T48308</v>
      </c>
      <c r="F514" t="str">
        <f>"6T48308"</f>
        <v>6T48308</v>
      </c>
      <c r="G514" t="str">
        <f>"8032928124324"</f>
        <v>8032928124324</v>
      </c>
      <c r="H514" t="str">
        <f t="shared" si="8"/>
        <v>Normal</v>
      </c>
      <c r="I514">
        <v>513</v>
      </c>
      <c r="J514" t="s">
        <v>1013</v>
      </c>
      <c r="K514" t="s">
        <v>1014</v>
      </c>
    </row>
    <row r="515" spans="1:11">
      <c r="A515" t="s">
        <v>467</v>
      </c>
      <c r="B515">
        <v>480</v>
      </c>
      <c r="C515" t="s">
        <v>128</v>
      </c>
      <c r="D515" t="str">
        <f>"6T48309"</f>
        <v>6T48309</v>
      </c>
      <c r="E515" t="str">
        <f>"6T48309"</f>
        <v>6T48309</v>
      </c>
      <c r="F515" t="str">
        <f>"6T48309"</f>
        <v>6T48309</v>
      </c>
      <c r="G515" t="str">
        <f>"8032928124331"</f>
        <v>8032928124331</v>
      </c>
      <c r="H515" t="str">
        <f t="shared" si="8"/>
        <v>Normal</v>
      </c>
      <c r="I515">
        <v>514</v>
      </c>
      <c r="J515" t="s">
        <v>1015</v>
      </c>
      <c r="K515" t="s">
        <v>1016</v>
      </c>
    </row>
    <row r="516" spans="1:11">
      <c r="A516" t="s">
        <v>467</v>
      </c>
      <c r="B516">
        <v>480</v>
      </c>
      <c r="C516" t="s">
        <v>128</v>
      </c>
      <c r="D516" t="str">
        <f>"6T48310"</f>
        <v>6T48310</v>
      </c>
      <c r="E516" t="str">
        <f>"6T48310"</f>
        <v>6T48310</v>
      </c>
      <c r="F516" t="str">
        <f>"6T48310"</f>
        <v>6T48310</v>
      </c>
      <c r="G516" t="str">
        <f>"8032928124348"</f>
        <v>8032928124348</v>
      </c>
      <c r="H516" t="str">
        <f t="shared" si="8"/>
        <v>Normal</v>
      </c>
      <c r="I516">
        <v>515</v>
      </c>
      <c r="J516" t="s">
        <v>1017</v>
      </c>
      <c r="K516" t="s">
        <v>1018</v>
      </c>
    </row>
    <row r="517" spans="1:11">
      <c r="A517" t="s">
        <v>467</v>
      </c>
      <c r="B517">
        <v>480</v>
      </c>
      <c r="C517" t="s">
        <v>128</v>
      </c>
      <c r="D517" t="str">
        <f>"6T48311"</f>
        <v>6T48311</v>
      </c>
      <c r="E517" t="str">
        <f>"6T48311"</f>
        <v>6T48311</v>
      </c>
      <c r="F517" t="str">
        <f>"6T48311"</f>
        <v>6T48311</v>
      </c>
      <c r="G517" t="str">
        <f>"8032928124355"</f>
        <v>8032928124355</v>
      </c>
      <c r="H517" t="str">
        <f t="shared" si="8"/>
        <v>Normal</v>
      </c>
      <c r="I517">
        <v>516</v>
      </c>
      <c r="J517" t="s">
        <v>1019</v>
      </c>
      <c r="K517" t="s">
        <v>1020</v>
      </c>
    </row>
    <row r="518" spans="1:11">
      <c r="A518" t="s">
        <v>467</v>
      </c>
      <c r="B518">
        <v>480</v>
      </c>
      <c r="C518" t="s">
        <v>128</v>
      </c>
      <c r="D518" t="str">
        <f>"6T48313"</f>
        <v>6T48313</v>
      </c>
      <c r="E518" t="str">
        <f>"6T48313"</f>
        <v>6T48313</v>
      </c>
      <c r="F518" t="str">
        <f>"6T48313"</f>
        <v>6T48313</v>
      </c>
      <c r="G518" t="str">
        <f>"8032928124379"</f>
        <v>8032928124379</v>
      </c>
      <c r="H518" t="str">
        <f t="shared" si="8"/>
        <v>Normal</v>
      </c>
      <c r="I518">
        <v>517</v>
      </c>
      <c r="J518" t="s">
        <v>1021</v>
      </c>
      <c r="K518" t="s">
        <v>1022</v>
      </c>
    </row>
    <row r="519" spans="1:11">
      <c r="A519" t="s">
        <v>467</v>
      </c>
      <c r="B519">
        <v>480</v>
      </c>
      <c r="C519" t="s">
        <v>128</v>
      </c>
      <c r="D519" t="str">
        <f>"6T48318"</f>
        <v>6T48318</v>
      </c>
      <c r="E519" t="str">
        <f>"6T48318"</f>
        <v>6T48318</v>
      </c>
      <c r="F519" t="str">
        <f>"6T48318"</f>
        <v>6T48318</v>
      </c>
      <c r="G519" t="str">
        <f>"8032928126014"</f>
        <v>8032928126014</v>
      </c>
      <c r="H519" t="str">
        <f t="shared" si="8"/>
        <v>Normal</v>
      </c>
      <c r="I519">
        <v>518</v>
      </c>
      <c r="J519" t="s">
        <v>1023</v>
      </c>
      <c r="K519" t="s">
        <v>1024</v>
      </c>
    </row>
    <row r="520" spans="1:11">
      <c r="A520" t="s">
        <v>467</v>
      </c>
      <c r="B520">
        <v>480</v>
      </c>
      <c r="C520" t="s">
        <v>128</v>
      </c>
      <c r="D520" t="str">
        <f>"6T48333"</f>
        <v>6T48333</v>
      </c>
      <c r="E520" t="str">
        <f>"6T48333"</f>
        <v>6T48333</v>
      </c>
      <c r="F520" t="str">
        <f>"6T48333"</f>
        <v>6T48333</v>
      </c>
      <c r="G520" t="str">
        <f>"8032928126168"</f>
        <v>8032928126168</v>
      </c>
      <c r="H520" t="str">
        <f t="shared" si="8"/>
        <v>Normal</v>
      </c>
      <c r="I520">
        <v>519</v>
      </c>
      <c r="J520" t="s">
        <v>1025</v>
      </c>
      <c r="K520" t="s">
        <v>1026</v>
      </c>
    </row>
    <row r="521" spans="1:11">
      <c r="A521" t="s">
        <v>467</v>
      </c>
      <c r="B521">
        <v>480</v>
      </c>
      <c r="C521" t="s">
        <v>128</v>
      </c>
      <c r="D521" t="str">
        <f>"6T48346"</f>
        <v>6T48346</v>
      </c>
      <c r="E521" t="str">
        <f>"6T48346"</f>
        <v>6T48346</v>
      </c>
      <c r="F521" t="str">
        <f>"6T48346"</f>
        <v>6T48346</v>
      </c>
      <c r="G521" t="str">
        <f>"8032928126281"</f>
        <v>8032928126281</v>
      </c>
      <c r="H521" t="str">
        <f t="shared" si="8"/>
        <v>Normal</v>
      </c>
      <c r="I521">
        <v>520</v>
      </c>
      <c r="J521" t="s">
        <v>1027</v>
      </c>
      <c r="K521" t="s">
        <v>1028</v>
      </c>
    </row>
    <row r="522" spans="1:11">
      <c r="A522" t="s">
        <v>467</v>
      </c>
      <c r="B522">
        <v>480</v>
      </c>
      <c r="C522" t="s">
        <v>128</v>
      </c>
      <c r="D522" t="str">
        <f>"6T48347"</f>
        <v>6T48347</v>
      </c>
      <c r="E522" t="str">
        <f>"6T48347"</f>
        <v>6T48347</v>
      </c>
      <c r="F522" t="str">
        <f>"6T48347"</f>
        <v>6T48347</v>
      </c>
      <c r="G522" t="str">
        <f>"8032928126298"</f>
        <v>8032928126298</v>
      </c>
      <c r="H522" t="str">
        <f t="shared" si="8"/>
        <v>Normal</v>
      </c>
      <c r="I522">
        <v>521</v>
      </c>
      <c r="J522" t="s">
        <v>1029</v>
      </c>
      <c r="K522" t="s">
        <v>1030</v>
      </c>
    </row>
    <row r="523" spans="1:11">
      <c r="A523" t="s">
        <v>467</v>
      </c>
      <c r="B523">
        <v>480</v>
      </c>
      <c r="C523" t="s">
        <v>128</v>
      </c>
      <c r="D523" t="str">
        <f>"6T48348"</f>
        <v>6T48348</v>
      </c>
      <c r="E523" t="str">
        <f>"6T48348"</f>
        <v>6T48348</v>
      </c>
      <c r="F523" t="str">
        <f>"6T48348"</f>
        <v>6T48348</v>
      </c>
      <c r="G523" t="str">
        <f>"8032928126304"</f>
        <v>8032928126304</v>
      </c>
      <c r="H523" t="str">
        <f t="shared" si="8"/>
        <v>Normal</v>
      </c>
      <c r="I523">
        <v>522</v>
      </c>
      <c r="J523" t="s">
        <v>1031</v>
      </c>
      <c r="K523" t="s">
        <v>1032</v>
      </c>
    </row>
    <row r="524" spans="1:11">
      <c r="A524" t="s">
        <v>467</v>
      </c>
      <c r="B524">
        <v>480</v>
      </c>
      <c r="C524" t="s">
        <v>128</v>
      </c>
      <c r="D524" t="str">
        <f>"6T48364"</f>
        <v>6T48364</v>
      </c>
      <c r="E524" t="str">
        <f>"6T48364"</f>
        <v>6T48364</v>
      </c>
      <c r="F524" t="str">
        <f>"6T48364"</f>
        <v>6T48364</v>
      </c>
      <c r="G524" t="str">
        <f>"8032928126458"</f>
        <v>8032928126458</v>
      </c>
      <c r="H524" t="str">
        <f t="shared" si="8"/>
        <v>Normal</v>
      </c>
      <c r="I524">
        <v>523</v>
      </c>
      <c r="J524" t="s">
        <v>1033</v>
      </c>
      <c r="K524" t="s">
        <v>1034</v>
      </c>
    </row>
    <row r="525" spans="1:11">
      <c r="A525" t="s">
        <v>467</v>
      </c>
      <c r="B525">
        <v>480</v>
      </c>
      <c r="C525" t="s">
        <v>128</v>
      </c>
      <c r="D525" t="str">
        <f>"6T48365"</f>
        <v>6T48365</v>
      </c>
      <c r="E525" t="str">
        <f>"6T48365"</f>
        <v>6T48365</v>
      </c>
      <c r="F525" t="str">
        <f>"6T48365"</f>
        <v>6T48365</v>
      </c>
      <c r="G525" t="str">
        <f>"8032928126465"</f>
        <v>8032928126465</v>
      </c>
      <c r="H525" t="str">
        <f t="shared" si="8"/>
        <v>Normal</v>
      </c>
      <c r="I525">
        <v>524</v>
      </c>
      <c r="J525" t="s">
        <v>1035</v>
      </c>
      <c r="K525" t="s">
        <v>1036</v>
      </c>
    </row>
    <row r="526" spans="1:11">
      <c r="A526" t="s">
        <v>467</v>
      </c>
      <c r="B526">
        <v>480</v>
      </c>
      <c r="C526" t="s">
        <v>128</v>
      </c>
      <c r="D526" t="str">
        <f>"6T48368"</f>
        <v>6T48368</v>
      </c>
      <c r="E526" t="str">
        <f>"6T48368"</f>
        <v>6T48368</v>
      </c>
      <c r="F526" t="str">
        <f>"6T48368"</f>
        <v>6T48368</v>
      </c>
      <c r="G526" t="str">
        <f>"8032928126496"</f>
        <v>8032928126496</v>
      </c>
      <c r="H526" t="str">
        <f t="shared" si="8"/>
        <v>Normal</v>
      </c>
      <c r="I526">
        <v>525</v>
      </c>
      <c r="J526" t="s">
        <v>1037</v>
      </c>
      <c r="K526" t="s">
        <v>1038</v>
      </c>
    </row>
    <row r="527" spans="1:11">
      <c r="A527" t="s">
        <v>467</v>
      </c>
      <c r="B527">
        <v>480</v>
      </c>
      <c r="C527" t="s">
        <v>128</v>
      </c>
      <c r="D527" t="str">
        <f>"6T48370"</f>
        <v>6T48370</v>
      </c>
      <c r="E527" t="str">
        <f>"6T48370"</f>
        <v>6T48370</v>
      </c>
      <c r="F527" t="str">
        <f>"6T48370"</f>
        <v>6T48370</v>
      </c>
      <c r="G527" t="str">
        <f>"8032928126519"</f>
        <v>8032928126519</v>
      </c>
      <c r="H527" t="str">
        <f t="shared" si="8"/>
        <v>Normal</v>
      </c>
      <c r="I527">
        <v>526</v>
      </c>
      <c r="J527" t="s">
        <v>1039</v>
      </c>
      <c r="K527" t="s">
        <v>1040</v>
      </c>
    </row>
    <row r="528" spans="1:11">
      <c r="A528" t="s">
        <v>467</v>
      </c>
      <c r="B528">
        <v>480</v>
      </c>
      <c r="C528" t="s">
        <v>128</v>
      </c>
      <c r="D528" t="str">
        <f>"6T48374"</f>
        <v>6T48374</v>
      </c>
      <c r="E528" t="str">
        <f>"6T48374"</f>
        <v>6T48374</v>
      </c>
      <c r="F528" t="str">
        <f>"6T48374"</f>
        <v>6T48374</v>
      </c>
      <c r="G528" t="str">
        <f>"8032928126557"</f>
        <v>8032928126557</v>
      </c>
      <c r="H528" t="str">
        <f t="shared" si="8"/>
        <v>Normal</v>
      </c>
      <c r="I528">
        <v>527</v>
      </c>
      <c r="J528" t="s">
        <v>1041</v>
      </c>
      <c r="K528" t="s">
        <v>1042</v>
      </c>
    </row>
    <row r="529" spans="1:11">
      <c r="A529" t="s">
        <v>467</v>
      </c>
      <c r="B529">
        <v>480</v>
      </c>
      <c r="C529" t="s">
        <v>128</v>
      </c>
      <c r="D529" t="str">
        <f>"6T48375"</f>
        <v>6T48375</v>
      </c>
      <c r="E529" t="str">
        <f>"6T48375"</f>
        <v>6T48375</v>
      </c>
      <c r="F529" t="str">
        <f>"6T48375"</f>
        <v>6T48375</v>
      </c>
      <c r="G529" t="str">
        <f>"8032928126564"</f>
        <v>8032928126564</v>
      </c>
      <c r="H529" t="str">
        <f t="shared" si="8"/>
        <v>Normal</v>
      </c>
      <c r="I529">
        <v>528</v>
      </c>
      <c r="J529" t="s">
        <v>1043</v>
      </c>
      <c r="K529" t="s">
        <v>1044</v>
      </c>
    </row>
    <row r="530" spans="1:11">
      <c r="A530" t="s">
        <v>467</v>
      </c>
      <c r="B530">
        <v>480</v>
      </c>
      <c r="C530" t="s">
        <v>128</v>
      </c>
      <c r="D530" t="str">
        <f>"6T48381"</f>
        <v>6T48381</v>
      </c>
      <c r="E530" t="str">
        <f>"6T48381"</f>
        <v>6T48381</v>
      </c>
      <c r="F530" t="str">
        <f>"6T48381"</f>
        <v>6T48381</v>
      </c>
      <c r="G530" t="str">
        <f>"8032928126625"</f>
        <v>8032928126625</v>
      </c>
      <c r="H530" t="str">
        <f t="shared" si="8"/>
        <v>Normal</v>
      </c>
      <c r="I530">
        <v>529</v>
      </c>
      <c r="J530" t="s">
        <v>1045</v>
      </c>
      <c r="K530" t="s">
        <v>1046</v>
      </c>
    </row>
    <row r="531" spans="1:11">
      <c r="A531" t="s">
        <v>467</v>
      </c>
      <c r="B531">
        <v>480</v>
      </c>
      <c r="C531" t="s">
        <v>128</v>
      </c>
      <c r="D531" t="str">
        <f>"6T48390"</f>
        <v>6T48390</v>
      </c>
      <c r="E531" t="str">
        <f>"6T48390"</f>
        <v>6T48390</v>
      </c>
      <c r="F531" t="str">
        <f>"6T48390"</f>
        <v>6T48390</v>
      </c>
      <c r="G531" t="str">
        <f>"8032928126700"</f>
        <v>8032928126700</v>
      </c>
      <c r="H531" t="str">
        <f t="shared" si="8"/>
        <v>Normal</v>
      </c>
      <c r="I531">
        <v>530</v>
      </c>
      <c r="J531" t="s">
        <v>1047</v>
      </c>
      <c r="K531" t="s">
        <v>1048</v>
      </c>
    </row>
    <row r="532" spans="1:11">
      <c r="A532" t="s">
        <v>467</v>
      </c>
      <c r="B532">
        <v>480</v>
      </c>
      <c r="C532" t="s">
        <v>128</v>
      </c>
      <c r="D532" t="str">
        <f>"6T48391"</f>
        <v>6T48391</v>
      </c>
      <c r="E532" t="str">
        <f>"6T48391"</f>
        <v>6T48391</v>
      </c>
      <c r="F532" t="str">
        <f>"6T48391"</f>
        <v>6T48391</v>
      </c>
      <c r="G532" t="str">
        <f>"8032928126717"</f>
        <v>8032928126717</v>
      </c>
      <c r="H532" t="str">
        <f t="shared" si="8"/>
        <v>Normal</v>
      </c>
      <c r="I532">
        <v>531</v>
      </c>
      <c r="J532" t="s">
        <v>1049</v>
      </c>
      <c r="K532" t="s">
        <v>1050</v>
      </c>
    </row>
    <row r="533" spans="1:11">
      <c r="A533" t="s">
        <v>467</v>
      </c>
      <c r="B533">
        <v>480</v>
      </c>
      <c r="C533" t="s">
        <v>128</v>
      </c>
      <c r="D533" t="str">
        <f>"6T48392"</f>
        <v>6T48392</v>
      </c>
      <c r="E533" t="str">
        <f>"6T48392"</f>
        <v>6T48392</v>
      </c>
      <c r="F533" t="str">
        <f>"6T48392"</f>
        <v>6T48392</v>
      </c>
      <c r="G533" t="str">
        <f>"8032928126724"</f>
        <v>8032928126724</v>
      </c>
      <c r="H533" t="str">
        <f t="shared" si="8"/>
        <v>Normal</v>
      </c>
      <c r="I533">
        <v>532</v>
      </c>
      <c r="J533" t="s">
        <v>1051</v>
      </c>
      <c r="K533" t="s">
        <v>1052</v>
      </c>
    </row>
    <row r="534" spans="1:11">
      <c r="A534" t="s">
        <v>467</v>
      </c>
      <c r="B534">
        <v>480</v>
      </c>
      <c r="C534" t="s">
        <v>128</v>
      </c>
      <c r="D534" t="str">
        <f>"6T48393"</f>
        <v>6T48393</v>
      </c>
      <c r="E534" t="str">
        <f>"6T48393"</f>
        <v>6T48393</v>
      </c>
      <c r="F534" t="str">
        <f>"6T48393"</f>
        <v>6T48393</v>
      </c>
      <c r="G534" t="str">
        <f>"8032928126731"</f>
        <v>8032928126731</v>
      </c>
      <c r="H534" t="str">
        <f t="shared" si="8"/>
        <v>Normal</v>
      </c>
      <c r="I534">
        <v>533</v>
      </c>
      <c r="J534" t="s">
        <v>1053</v>
      </c>
      <c r="K534" t="s">
        <v>1054</v>
      </c>
    </row>
    <row r="535" spans="1:11">
      <c r="A535" t="s">
        <v>467</v>
      </c>
      <c r="B535">
        <v>480</v>
      </c>
      <c r="C535" t="s">
        <v>128</v>
      </c>
      <c r="D535" t="str">
        <f>"6T48396"</f>
        <v>6T48396</v>
      </c>
      <c r="E535" t="str">
        <f>"6T48396"</f>
        <v>6T48396</v>
      </c>
      <c r="F535" t="str">
        <f>"6T48396"</f>
        <v>6T48396</v>
      </c>
      <c r="G535" t="str">
        <f>"8032928126762"</f>
        <v>8032928126762</v>
      </c>
      <c r="H535" t="str">
        <f t="shared" si="8"/>
        <v>Normal</v>
      </c>
      <c r="I535">
        <v>534</v>
      </c>
      <c r="J535" t="s">
        <v>1055</v>
      </c>
      <c r="K535" t="s">
        <v>1056</v>
      </c>
    </row>
    <row r="536" spans="1:11">
      <c r="A536" t="s">
        <v>467</v>
      </c>
      <c r="B536">
        <v>480</v>
      </c>
      <c r="C536" t="s">
        <v>128</v>
      </c>
      <c r="D536" t="str">
        <f>"6T48397"</f>
        <v>6T48397</v>
      </c>
      <c r="E536" t="str">
        <f>"6T48397"</f>
        <v>6T48397</v>
      </c>
      <c r="F536" t="str">
        <f>"6T48397"</f>
        <v>6T48397</v>
      </c>
      <c r="G536" t="str">
        <f>"8032928126779"</f>
        <v>8032928126779</v>
      </c>
      <c r="H536" t="str">
        <f t="shared" si="8"/>
        <v>Normal</v>
      </c>
      <c r="I536">
        <v>535</v>
      </c>
      <c r="J536" t="s">
        <v>1057</v>
      </c>
      <c r="K536" t="s">
        <v>1058</v>
      </c>
    </row>
    <row r="537" spans="1:11">
      <c r="A537" t="s">
        <v>467</v>
      </c>
      <c r="B537">
        <v>480</v>
      </c>
      <c r="C537" t="s">
        <v>128</v>
      </c>
      <c r="D537" t="str">
        <f>"6T48404"</f>
        <v>6T48404</v>
      </c>
      <c r="E537" t="str">
        <f>"6T48404"</f>
        <v>6T48404</v>
      </c>
      <c r="F537" t="str">
        <f>"6T48404"</f>
        <v>6T48404</v>
      </c>
      <c r="G537" t="str">
        <f>"8032928126847"</f>
        <v>8032928126847</v>
      </c>
      <c r="H537" t="str">
        <f t="shared" si="8"/>
        <v>Normal</v>
      </c>
      <c r="I537">
        <v>536</v>
      </c>
      <c r="J537" t="s">
        <v>1059</v>
      </c>
      <c r="K537" t="s">
        <v>1060</v>
      </c>
    </row>
    <row r="538" spans="1:11">
      <c r="A538" t="s">
        <v>467</v>
      </c>
      <c r="B538">
        <v>480</v>
      </c>
      <c r="C538" t="s">
        <v>128</v>
      </c>
      <c r="D538" t="str">
        <f>"6T48405"</f>
        <v>6T48405</v>
      </c>
      <c r="E538" t="str">
        <f>"6T48405"</f>
        <v>6T48405</v>
      </c>
      <c r="F538" t="str">
        <f>"6T48405"</f>
        <v>6T48405</v>
      </c>
      <c r="G538" t="str">
        <f>"8032928126854"</f>
        <v>8032928126854</v>
      </c>
      <c r="H538" t="str">
        <f t="shared" si="8"/>
        <v>Normal</v>
      </c>
      <c r="I538">
        <v>537</v>
      </c>
      <c r="J538" t="s">
        <v>1061</v>
      </c>
      <c r="K538" t="s">
        <v>1062</v>
      </c>
    </row>
    <row r="539" spans="1:11">
      <c r="A539" t="s">
        <v>467</v>
      </c>
      <c r="B539">
        <v>480</v>
      </c>
      <c r="C539" t="s">
        <v>128</v>
      </c>
      <c r="D539" t="str">
        <f>"6T48406"</f>
        <v>6T48406</v>
      </c>
      <c r="E539" t="str">
        <f>"6T48406"</f>
        <v>6T48406</v>
      </c>
      <c r="F539" t="str">
        <f>"6T48406"</f>
        <v>6T48406</v>
      </c>
      <c r="G539" t="str">
        <f>"8032928126861"</f>
        <v>8032928126861</v>
      </c>
      <c r="H539" t="str">
        <f t="shared" si="8"/>
        <v>Normal</v>
      </c>
      <c r="I539">
        <v>538</v>
      </c>
      <c r="J539" t="s">
        <v>1063</v>
      </c>
      <c r="K539" t="s">
        <v>1064</v>
      </c>
    </row>
    <row r="540" spans="1:11">
      <c r="A540" t="s">
        <v>467</v>
      </c>
      <c r="B540">
        <v>480</v>
      </c>
      <c r="C540" t="s">
        <v>128</v>
      </c>
      <c r="D540" t="str">
        <f>"6T48407"</f>
        <v>6T48407</v>
      </c>
      <c r="E540" t="str">
        <f>"6T48407"</f>
        <v>6T48407</v>
      </c>
      <c r="F540" t="str">
        <f>"6T48407"</f>
        <v>6T48407</v>
      </c>
      <c r="G540" t="str">
        <f>"8032928126878"</f>
        <v>8032928126878</v>
      </c>
      <c r="H540" t="str">
        <f t="shared" si="8"/>
        <v>Normal</v>
      </c>
      <c r="I540">
        <v>539</v>
      </c>
      <c r="J540" t="s">
        <v>1065</v>
      </c>
      <c r="K540" t="s">
        <v>1066</v>
      </c>
    </row>
    <row r="541" spans="1:11">
      <c r="A541" t="s">
        <v>467</v>
      </c>
      <c r="B541">
        <v>480</v>
      </c>
      <c r="C541" t="s">
        <v>128</v>
      </c>
      <c r="D541" t="str">
        <f>"6T48408"</f>
        <v>6T48408</v>
      </c>
      <c r="E541" t="str">
        <f>"6T48408"</f>
        <v>6T48408</v>
      </c>
      <c r="F541" t="str">
        <f>"6T48408"</f>
        <v>6T48408</v>
      </c>
      <c r="G541" t="str">
        <f>"8032928126885"</f>
        <v>8032928126885</v>
      </c>
      <c r="H541" t="str">
        <f t="shared" si="8"/>
        <v>Normal</v>
      </c>
      <c r="I541">
        <v>540</v>
      </c>
      <c r="J541" t="s">
        <v>1067</v>
      </c>
      <c r="K541" t="s">
        <v>1068</v>
      </c>
    </row>
    <row r="542" spans="1:11">
      <c r="A542" t="s">
        <v>467</v>
      </c>
      <c r="B542">
        <v>480</v>
      </c>
      <c r="C542" t="s">
        <v>128</v>
      </c>
      <c r="D542" t="str">
        <f>"6T48416"</f>
        <v>6T48416</v>
      </c>
      <c r="E542" t="str">
        <f>"6T48416"</f>
        <v>6T48416</v>
      </c>
      <c r="F542" t="str">
        <f>"6T48416"</f>
        <v>6T48416</v>
      </c>
      <c r="G542" t="str">
        <f>"8032928126960"</f>
        <v>8032928126960</v>
      </c>
      <c r="H542" t="str">
        <f t="shared" si="8"/>
        <v>Normal</v>
      </c>
      <c r="I542">
        <v>541</v>
      </c>
      <c r="J542" t="s">
        <v>1069</v>
      </c>
      <c r="K542" t="s">
        <v>1070</v>
      </c>
    </row>
    <row r="543" spans="1:11">
      <c r="A543" t="s">
        <v>467</v>
      </c>
      <c r="B543">
        <v>480</v>
      </c>
      <c r="C543" t="s">
        <v>128</v>
      </c>
      <c r="D543" t="str">
        <f>"6T48417"</f>
        <v>6T48417</v>
      </c>
      <c r="E543" t="str">
        <f>"6T48417"</f>
        <v>6T48417</v>
      </c>
      <c r="F543" t="str">
        <f>"6T48417"</f>
        <v>6T48417</v>
      </c>
      <c r="G543" t="str">
        <f>"8032928126977"</f>
        <v>8032928126977</v>
      </c>
      <c r="H543" t="str">
        <f t="shared" si="8"/>
        <v>Normal</v>
      </c>
      <c r="I543">
        <v>542</v>
      </c>
      <c r="J543" t="s">
        <v>1071</v>
      </c>
      <c r="K543" t="s">
        <v>1072</v>
      </c>
    </row>
    <row r="544" spans="1:11">
      <c r="A544" t="s">
        <v>467</v>
      </c>
      <c r="B544">
        <v>480</v>
      </c>
      <c r="C544" t="s">
        <v>128</v>
      </c>
      <c r="D544" t="str">
        <f>"6T48418"</f>
        <v>6T48418</v>
      </c>
      <c r="E544" t="str">
        <f>"6T48418"</f>
        <v>6T48418</v>
      </c>
      <c r="F544" t="str">
        <f>"6T48418"</f>
        <v>6T48418</v>
      </c>
      <c r="G544" t="str">
        <f>"8032928126984"</f>
        <v>8032928126984</v>
      </c>
      <c r="H544" t="str">
        <f t="shared" ref="H544:H607" si="9">"Normal"</f>
        <v>Normal</v>
      </c>
      <c r="I544">
        <v>543</v>
      </c>
      <c r="J544" t="s">
        <v>1073</v>
      </c>
      <c r="K544" t="s">
        <v>1074</v>
      </c>
    </row>
    <row r="545" spans="1:11">
      <c r="A545" t="s">
        <v>467</v>
      </c>
      <c r="B545">
        <v>480</v>
      </c>
      <c r="C545" t="s">
        <v>128</v>
      </c>
      <c r="D545" t="str">
        <f>"6T48420"</f>
        <v>6T48420</v>
      </c>
      <c r="E545" t="str">
        <f>"6T48420"</f>
        <v>6T48420</v>
      </c>
      <c r="F545" t="str">
        <f>"6T48420"</f>
        <v>6T48420</v>
      </c>
      <c r="G545" t="str">
        <f>"8032928127004"</f>
        <v>8032928127004</v>
      </c>
      <c r="H545" t="str">
        <f t="shared" si="9"/>
        <v>Normal</v>
      </c>
      <c r="I545">
        <v>544</v>
      </c>
      <c r="J545" t="s">
        <v>1075</v>
      </c>
      <c r="K545" t="s">
        <v>1076</v>
      </c>
    </row>
    <row r="546" spans="1:11">
      <c r="A546" t="s">
        <v>467</v>
      </c>
      <c r="B546">
        <v>480</v>
      </c>
      <c r="C546" t="s">
        <v>128</v>
      </c>
      <c r="D546" t="str">
        <f>"6T48421"</f>
        <v>6T48421</v>
      </c>
      <c r="E546" t="str">
        <f>"6T48421"</f>
        <v>6T48421</v>
      </c>
      <c r="F546" t="str">
        <f>"6T48421"</f>
        <v>6T48421</v>
      </c>
      <c r="G546" t="str">
        <f>"8032928127011"</f>
        <v>8032928127011</v>
      </c>
      <c r="H546" t="str">
        <f t="shared" si="9"/>
        <v>Normal</v>
      </c>
      <c r="I546">
        <v>545</v>
      </c>
      <c r="J546" t="s">
        <v>1077</v>
      </c>
      <c r="K546" t="s">
        <v>1078</v>
      </c>
    </row>
    <row r="547" spans="1:11">
      <c r="A547" t="s">
        <v>467</v>
      </c>
      <c r="B547">
        <v>480</v>
      </c>
      <c r="C547" t="s">
        <v>128</v>
      </c>
      <c r="D547" t="str">
        <f>"6T48422"</f>
        <v>6T48422</v>
      </c>
      <c r="E547" t="str">
        <f>"6T48422"</f>
        <v>6T48422</v>
      </c>
      <c r="F547" t="str">
        <f>"6T48422"</f>
        <v>6T48422</v>
      </c>
      <c r="G547" t="str">
        <f>"8032928127028"</f>
        <v>8032928127028</v>
      </c>
      <c r="H547" t="str">
        <f t="shared" si="9"/>
        <v>Normal</v>
      </c>
      <c r="I547">
        <v>546</v>
      </c>
      <c r="J547" t="s">
        <v>1079</v>
      </c>
      <c r="K547" t="s">
        <v>1080</v>
      </c>
    </row>
    <row r="548" spans="1:11">
      <c r="A548" t="s">
        <v>467</v>
      </c>
      <c r="B548">
        <v>480</v>
      </c>
      <c r="C548" t="s">
        <v>128</v>
      </c>
      <c r="D548" t="str">
        <f>"6T48423"</f>
        <v>6T48423</v>
      </c>
      <c r="E548" t="str">
        <f>"6T48423"</f>
        <v>6T48423</v>
      </c>
      <c r="F548" t="str">
        <f>"6T48423"</f>
        <v>6T48423</v>
      </c>
      <c r="G548" t="str">
        <f>"8032928127035"</f>
        <v>8032928127035</v>
      </c>
      <c r="H548" t="str">
        <f t="shared" si="9"/>
        <v>Normal</v>
      </c>
      <c r="I548">
        <v>547</v>
      </c>
      <c r="J548" t="s">
        <v>1081</v>
      </c>
      <c r="K548" t="s">
        <v>1082</v>
      </c>
    </row>
    <row r="549" spans="1:11">
      <c r="A549" t="s">
        <v>467</v>
      </c>
      <c r="B549">
        <v>480</v>
      </c>
      <c r="C549" t="s">
        <v>128</v>
      </c>
      <c r="D549" t="str">
        <f>"6T48424"</f>
        <v>6T48424</v>
      </c>
      <c r="E549" t="str">
        <f>"6T48424"</f>
        <v>6T48424</v>
      </c>
      <c r="F549" t="str">
        <f>"6T48424"</f>
        <v>6T48424</v>
      </c>
      <c r="G549" t="str">
        <f>"8032928127042"</f>
        <v>8032928127042</v>
      </c>
      <c r="H549" t="str">
        <f t="shared" si="9"/>
        <v>Normal</v>
      </c>
      <c r="I549">
        <v>548</v>
      </c>
      <c r="J549" t="s">
        <v>1083</v>
      </c>
      <c r="K549" t="s">
        <v>1084</v>
      </c>
    </row>
    <row r="550" spans="1:11">
      <c r="A550" t="s">
        <v>467</v>
      </c>
      <c r="B550">
        <v>480</v>
      </c>
      <c r="C550" t="s">
        <v>128</v>
      </c>
      <c r="D550" t="str">
        <f>"6T48425"</f>
        <v>6T48425</v>
      </c>
      <c r="E550" t="str">
        <f>"6T48425"</f>
        <v>6T48425</v>
      </c>
      <c r="F550" t="str">
        <f>"6T48425"</f>
        <v>6T48425</v>
      </c>
      <c r="G550" t="str">
        <f>"8032928127059"</f>
        <v>8032928127059</v>
      </c>
      <c r="H550" t="str">
        <f t="shared" si="9"/>
        <v>Normal</v>
      </c>
      <c r="I550">
        <v>549</v>
      </c>
      <c r="J550" t="s">
        <v>1085</v>
      </c>
      <c r="K550" t="s">
        <v>1086</v>
      </c>
    </row>
    <row r="551" spans="1:11">
      <c r="A551" t="s">
        <v>467</v>
      </c>
      <c r="B551">
        <v>480</v>
      </c>
      <c r="C551" t="s">
        <v>128</v>
      </c>
      <c r="D551" t="str">
        <f>"6T48429"</f>
        <v>6T48429</v>
      </c>
      <c r="E551" t="str">
        <f>"6T48429"</f>
        <v>6T48429</v>
      </c>
      <c r="F551" t="str">
        <f>"6T48429"</f>
        <v>6T48429</v>
      </c>
      <c r="G551" t="str">
        <f>"8032928127097"</f>
        <v>8032928127097</v>
      </c>
      <c r="H551" t="str">
        <f t="shared" si="9"/>
        <v>Normal</v>
      </c>
      <c r="I551">
        <v>550</v>
      </c>
      <c r="J551" t="s">
        <v>1087</v>
      </c>
      <c r="K551" t="s">
        <v>1088</v>
      </c>
    </row>
    <row r="552" spans="1:11">
      <c r="A552" t="s">
        <v>467</v>
      </c>
      <c r="B552">
        <v>480</v>
      </c>
      <c r="C552" t="s">
        <v>128</v>
      </c>
      <c r="D552" t="str">
        <f>"6T48431"</f>
        <v>6T48431</v>
      </c>
      <c r="E552" t="str">
        <f>"6T48431"</f>
        <v>6T48431</v>
      </c>
      <c r="F552" t="str">
        <f>"6T48431"</f>
        <v>6T48431</v>
      </c>
      <c r="G552" t="str">
        <f>"8032928127110"</f>
        <v>8032928127110</v>
      </c>
      <c r="H552" t="str">
        <f t="shared" si="9"/>
        <v>Normal</v>
      </c>
      <c r="I552">
        <v>551</v>
      </c>
      <c r="J552" t="s">
        <v>1089</v>
      </c>
      <c r="K552" t="s">
        <v>1090</v>
      </c>
    </row>
    <row r="553" spans="1:11">
      <c r="A553" t="s">
        <v>467</v>
      </c>
      <c r="B553">
        <v>480</v>
      </c>
      <c r="C553" t="s">
        <v>128</v>
      </c>
      <c r="D553" t="str">
        <f>"6T48432"</f>
        <v>6T48432</v>
      </c>
      <c r="E553" t="str">
        <f>"6T48432"</f>
        <v>6T48432</v>
      </c>
      <c r="F553" t="str">
        <f>"6T48432"</f>
        <v>6T48432</v>
      </c>
      <c r="G553" t="str">
        <f>"8032928127127"</f>
        <v>8032928127127</v>
      </c>
      <c r="H553" t="str">
        <f t="shared" si="9"/>
        <v>Normal</v>
      </c>
      <c r="I553">
        <v>552</v>
      </c>
      <c r="J553" t="s">
        <v>1091</v>
      </c>
      <c r="K553" t="s">
        <v>1092</v>
      </c>
    </row>
    <row r="554" spans="1:11">
      <c r="A554" t="s">
        <v>467</v>
      </c>
      <c r="B554">
        <v>480</v>
      </c>
      <c r="C554" t="s">
        <v>128</v>
      </c>
      <c r="D554" t="str">
        <f>"6T48433"</f>
        <v>6T48433</v>
      </c>
      <c r="E554" t="str">
        <f>"6T48433"</f>
        <v>6T48433</v>
      </c>
      <c r="F554" t="str">
        <f>"6T48433"</f>
        <v>6T48433</v>
      </c>
      <c r="G554" t="str">
        <f>"8032928127134"</f>
        <v>8032928127134</v>
      </c>
      <c r="H554" t="str">
        <f t="shared" si="9"/>
        <v>Normal</v>
      </c>
      <c r="I554">
        <v>553</v>
      </c>
      <c r="J554" t="s">
        <v>1093</v>
      </c>
      <c r="K554" t="s">
        <v>1094</v>
      </c>
    </row>
    <row r="555" spans="1:11">
      <c r="A555" t="s">
        <v>467</v>
      </c>
      <c r="B555">
        <v>480</v>
      </c>
      <c r="C555" t="s">
        <v>128</v>
      </c>
      <c r="D555" t="str">
        <f>"6T48434"</f>
        <v>6T48434</v>
      </c>
      <c r="E555" t="str">
        <f>"6T48434"</f>
        <v>6T48434</v>
      </c>
      <c r="F555" t="str">
        <f>"6T48434"</f>
        <v>6T48434</v>
      </c>
      <c r="G555" t="str">
        <f>"8032928127141"</f>
        <v>8032928127141</v>
      </c>
      <c r="H555" t="str">
        <f t="shared" si="9"/>
        <v>Normal</v>
      </c>
      <c r="I555">
        <v>554</v>
      </c>
      <c r="J555" t="s">
        <v>1095</v>
      </c>
      <c r="K555" t="s">
        <v>1096</v>
      </c>
    </row>
    <row r="556" spans="1:11">
      <c r="A556" t="s">
        <v>467</v>
      </c>
      <c r="B556">
        <v>480</v>
      </c>
      <c r="C556" t="s">
        <v>128</v>
      </c>
      <c r="D556" t="str">
        <f>"6T48436"</f>
        <v>6T48436</v>
      </c>
      <c r="E556" t="str">
        <f>"6T48436"</f>
        <v>6T48436</v>
      </c>
      <c r="F556" t="str">
        <f>"6T48436"</f>
        <v>6T48436</v>
      </c>
      <c r="G556" t="str">
        <f>"8032928127165"</f>
        <v>8032928127165</v>
      </c>
      <c r="H556" t="str">
        <f t="shared" si="9"/>
        <v>Normal</v>
      </c>
      <c r="I556">
        <v>555</v>
      </c>
      <c r="J556" t="s">
        <v>1097</v>
      </c>
      <c r="K556" t="s">
        <v>1098</v>
      </c>
    </row>
    <row r="557" spans="1:11">
      <c r="A557" t="s">
        <v>467</v>
      </c>
      <c r="B557">
        <v>480</v>
      </c>
      <c r="C557" t="s">
        <v>128</v>
      </c>
      <c r="D557" t="str">
        <f>"6T48437"</f>
        <v>6T48437</v>
      </c>
      <c r="E557" t="str">
        <f>"6T48437"</f>
        <v>6T48437</v>
      </c>
      <c r="F557" t="str">
        <f>"6T48437"</f>
        <v>6T48437</v>
      </c>
      <c r="G557" t="str">
        <f>"8032928127172"</f>
        <v>8032928127172</v>
      </c>
      <c r="H557" t="str">
        <f t="shared" si="9"/>
        <v>Normal</v>
      </c>
      <c r="I557">
        <v>556</v>
      </c>
      <c r="J557" t="s">
        <v>1099</v>
      </c>
      <c r="K557" t="s">
        <v>1100</v>
      </c>
    </row>
    <row r="558" spans="1:11">
      <c r="A558" t="s">
        <v>467</v>
      </c>
      <c r="B558">
        <v>480</v>
      </c>
      <c r="C558" t="s">
        <v>128</v>
      </c>
      <c r="D558" t="str">
        <f>"6T48439"</f>
        <v>6T48439</v>
      </c>
      <c r="E558" t="str">
        <f>"6T48439"</f>
        <v>6T48439</v>
      </c>
      <c r="F558" t="str">
        <f>"6T48439"</f>
        <v>6T48439</v>
      </c>
      <c r="G558" t="str">
        <f>"8032928127196"</f>
        <v>8032928127196</v>
      </c>
      <c r="H558" t="str">
        <f t="shared" si="9"/>
        <v>Normal</v>
      </c>
      <c r="I558">
        <v>557</v>
      </c>
      <c r="J558" t="s">
        <v>1101</v>
      </c>
      <c r="K558" t="s">
        <v>1102</v>
      </c>
    </row>
    <row r="559" spans="1:11">
      <c r="A559" t="s">
        <v>860</v>
      </c>
      <c r="B559">
        <v>480</v>
      </c>
      <c r="C559" t="s">
        <v>128</v>
      </c>
      <c r="D559" t="str">
        <f>"B2047V"</f>
        <v>B2047V</v>
      </c>
      <c r="E559" t="str">
        <f>"B2047V"</f>
        <v>B2047V</v>
      </c>
      <c r="F559" t="str">
        <f>"B2047V"</f>
        <v>B2047V</v>
      </c>
      <c r="G559" t="str">
        <f>"8032928096300"</f>
        <v>8032928096300</v>
      </c>
      <c r="H559" t="str">
        <f t="shared" si="9"/>
        <v>Normal</v>
      </c>
      <c r="I559">
        <v>558</v>
      </c>
      <c r="J559" t="s">
        <v>1103</v>
      </c>
      <c r="K559" t="s">
        <v>1104</v>
      </c>
    </row>
    <row r="560" spans="1:11">
      <c r="A560" t="s">
        <v>860</v>
      </c>
      <c r="B560">
        <v>480</v>
      </c>
      <c r="C560" t="s">
        <v>128</v>
      </c>
      <c r="D560" t="str">
        <f>"B2048V"</f>
        <v>B2048V</v>
      </c>
      <c r="E560" t="str">
        <f>"B2048V"</f>
        <v>B2048V</v>
      </c>
      <c r="F560" t="str">
        <f>"B2048V"</f>
        <v>B2048V</v>
      </c>
      <c r="G560" t="str">
        <f>"8032928097345"</f>
        <v>8032928097345</v>
      </c>
      <c r="H560" t="str">
        <f t="shared" si="9"/>
        <v>Normal</v>
      </c>
      <c r="I560">
        <v>559</v>
      </c>
      <c r="J560" t="s">
        <v>1105</v>
      </c>
      <c r="K560" t="s">
        <v>1106</v>
      </c>
    </row>
    <row r="561" spans="1:11">
      <c r="A561" t="s">
        <v>860</v>
      </c>
      <c r="B561">
        <v>480</v>
      </c>
      <c r="C561" t="s">
        <v>128</v>
      </c>
      <c r="D561" t="str">
        <f>"B2049V"</f>
        <v>B2049V</v>
      </c>
      <c r="E561" t="str">
        <f>"B2049V"</f>
        <v>B2049V</v>
      </c>
      <c r="F561" t="str">
        <f>"B2049V"</f>
        <v>B2049V</v>
      </c>
      <c r="G561" t="str">
        <f>"8032928099325"</f>
        <v>8032928099325</v>
      </c>
      <c r="H561" t="str">
        <f t="shared" si="9"/>
        <v>Normal</v>
      </c>
      <c r="I561">
        <v>560</v>
      </c>
      <c r="J561" t="s">
        <v>1107</v>
      </c>
      <c r="K561" s="1" t="s">
        <v>1108</v>
      </c>
    </row>
    <row r="562" spans="1:11">
      <c r="A562" t="s">
        <v>860</v>
      </c>
      <c r="B562">
        <v>480</v>
      </c>
      <c r="C562" t="s">
        <v>128</v>
      </c>
      <c r="D562" t="str">
        <f>"B2050V"</f>
        <v>B2050V</v>
      </c>
      <c r="E562" t="str">
        <f>"B2050V"</f>
        <v>B2050V</v>
      </c>
      <c r="F562" t="str">
        <f>"B2050V"</f>
        <v>B2050V</v>
      </c>
      <c r="G562" t="str">
        <f>"8032928103428"</f>
        <v>8032928103428</v>
      </c>
      <c r="H562" t="str">
        <f t="shared" si="9"/>
        <v>Normal</v>
      </c>
      <c r="I562">
        <v>561</v>
      </c>
      <c r="J562" t="s">
        <v>1109</v>
      </c>
      <c r="K562" s="1" t="s">
        <v>1110</v>
      </c>
    </row>
    <row r="563" spans="1:11">
      <c r="A563" t="s">
        <v>860</v>
      </c>
      <c r="B563">
        <v>480</v>
      </c>
      <c r="C563" t="s">
        <v>128</v>
      </c>
      <c r="D563" t="str">
        <f>"B2052V"</f>
        <v>B2052V</v>
      </c>
      <c r="E563" t="str">
        <f>"B2052V"</f>
        <v>B2052V</v>
      </c>
      <c r="F563" t="str">
        <f>"B2052V"</f>
        <v>B2052V</v>
      </c>
      <c r="G563" t="str">
        <f>"8032928103435"</f>
        <v>8032928103435</v>
      </c>
      <c r="H563" t="str">
        <f t="shared" si="9"/>
        <v>Normal</v>
      </c>
      <c r="I563">
        <v>562</v>
      </c>
      <c r="J563" t="s">
        <v>1111</v>
      </c>
      <c r="K563" s="1" t="s">
        <v>1112</v>
      </c>
    </row>
    <row r="564" spans="1:11">
      <c r="A564" t="s">
        <v>860</v>
      </c>
      <c r="B564">
        <v>480</v>
      </c>
      <c r="C564" t="s">
        <v>128</v>
      </c>
      <c r="D564" t="str">
        <f>"B2053V"</f>
        <v>B2053V</v>
      </c>
      <c r="E564" t="str">
        <f>"B2053V"</f>
        <v>B2053V</v>
      </c>
      <c r="F564" t="str">
        <f>"B2053V"</f>
        <v>B2053V</v>
      </c>
      <c r="G564" t="str">
        <f>"8032928103442"</f>
        <v>8032928103442</v>
      </c>
      <c r="H564" t="str">
        <f t="shared" si="9"/>
        <v>Normal</v>
      </c>
      <c r="I564">
        <v>563</v>
      </c>
      <c r="J564" t="s">
        <v>1113</v>
      </c>
      <c r="K564" s="1" t="s">
        <v>1114</v>
      </c>
    </row>
    <row r="565" spans="1:11">
      <c r="A565" t="s">
        <v>860</v>
      </c>
      <c r="B565">
        <v>480</v>
      </c>
      <c r="C565" t="s">
        <v>128</v>
      </c>
      <c r="D565" t="str">
        <f>"B2054V"</f>
        <v>B2054V</v>
      </c>
      <c r="E565" t="str">
        <f>"B2054V"</f>
        <v>B2054V</v>
      </c>
      <c r="F565" t="str">
        <f>"B2054V"</f>
        <v>B2054V</v>
      </c>
      <c r="G565" t="str">
        <f>"8032928103671"</f>
        <v>8032928103671</v>
      </c>
      <c r="H565" t="str">
        <f t="shared" si="9"/>
        <v>Normal</v>
      </c>
      <c r="I565">
        <v>564</v>
      </c>
      <c r="J565" t="s">
        <v>1115</v>
      </c>
      <c r="K565" s="1" t="s">
        <v>1116</v>
      </c>
    </row>
    <row r="566" spans="1:11">
      <c r="A566" t="s">
        <v>860</v>
      </c>
      <c r="B566">
        <v>480</v>
      </c>
      <c r="C566" t="s">
        <v>128</v>
      </c>
      <c r="D566" t="str">
        <f>"B2055V"</f>
        <v>B2055V</v>
      </c>
      <c r="E566" t="str">
        <f>"B2055V"</f>
        <v>B2055V</v>
      </c>
      <c r="F566" t="str">
        <f>"B2055V"</f>
        <v>B2055V</v>
      </c>
      <c r="G566" t="str">
        <f>"8032928103688"</f>
        <v>8032928103688</v>
      </c>
      <c r="H566" t="str">
        <f t="shared" si="9"/>
        <v>Normal</v>
      </c>
      <c r="I566">
        <v>565</v>
      </c>
      <c r="J566" t="s">
        <v>1117</v>
      </c>
      <c r="K566" t="s">
        <v>1118</v>
      </c>
    </row>
    <row r="567" spans="1:11">
      <c r="A567" t="s">
        <v>860</v>
      </c>
      <c r="B567">
        <v>480</v>
      </c>
      <c r="C567" t="s">
        <v>128</v>
      </c>
      <c r="D567" t="str">
        <f>"B2056P"</f>
        <v>B2056P</v>
      </c>
      <c r="E567" t="str">
        <f>"B2056P"</f>
        <v>B2056P</v>
      </c>
      <c r="F567" t="str">
        <f>"B2056P"</f>
        <v>B2056P</v>
      </c>
      <c r="G567" t="str">
        <f>"8032928103930"</f>
        <v>8032928103930</v>
      </c>
      <c r="H567" t="str">
        <f t="shared" si="9"/>
        <v>Normal</v>
      </c>
      <c r="I567">
        <v>566</v>
      </c>
      <c r="J567" t="s">
        <v>1119</v>
      </c>
      <c r="K567" s="1" t="s">
        <v>1120</v>
      </c>
    </row>
    <row r="568" spans="1:11">
      <c r="A568" t="s">
        <v>860</v>
      </c>
      <c r="B568">
        <v>480</v>
      </c>
      <c r="C568" t="s">
        <v>128</v>
      </c>
      <c r="D568" t="str">
        <f>"B2057V"</f>
        <v>B2057V</v>
      </c>
      <c r="E568" t="str">
        <f>"B2057V"</f>
        <v>B2057V</v>
      </c>
      <c r="F568" t="str">
        <f>"B2057V"</f>
        <v>B2057V</v>
      </c>
      <c r="G568" t="str">
        <f>"8032928104975"</f>
        <v>8032928104975</v>
      </c>
      <c r="H568" t="str">
        <f t="shared" si="9"/>
        <v>Normal</v>
      </c>
      <c r="I568">
        <v>567</v>
      </c>
      <c r="J568" t="s">
        <v>1121</v>
      </c>
      <c r="K568" t="s">
        <v>1122</v>
      </c>
    </row>
    <row r="569" spans="1:11">
      <c r="A569" t="s">
        <v>860</v>
      </c>
      <c r="B569">
        <v>480</v>
      </c>
      <c r="C569" t="s">
        <v>128</v>
      </c>
      <c r="D569" t="str">
        <f>"B2058P"</f>
        <v>B2058P</v>
      </c>
      <c r="E569" t="str">
        <f>"B2058P"</f>
        <v>B2058P</v>
      </c>
      <c r="F569" t="str">
        <f>"B2058P"</f>
        <v>B2058P</v>
      </c>
      <c r="G569" t="str">
        <f>"8032928104982"</f>
        <v>8032928104982</v>
      </c>
      <c r="H569" t="str">
        <f t="shared" si="9"/>
        <v>Normal</v>
      </c>
      <c r="I569">
        <v>568</v>
      </c>
      <c r="J569" t="s">
        <v>1123</v>
      </c>
      <c r="K569" s="1" t="s">
        <v>1124</v>
      </c>
    </row>
    <row r="570" spans="1:11">
      <c r="A570" t="s">
        <v>860</v>
      </c>
      <c r="B570">
        <v>480</v>
      </c>
      <c r="C570" t="s">
        <v>128</v>
      </c>
      <c r="D570" t="str">
        <f>"B2059V"</f>
        <v>B2059V</v>
      </c>
      <c r="E570" t="str">
        <f>"B2059V"</f>
        <v>B2059V</v>
      </c>
      <c r="F570" t="str">
        <f>"B2059V"</f>
        <v>B2059V</v>
      </c>
      <c r="G570" t="str">
        <f>"8032928104999"</f>
        <v>8032928104999</v>
      </c>
      <c r="H570" t="str">
        <f t="shared" si="9"/>
        <v>Normal</v>
      </c>
      <c r="I570">
        <v>569</v>
      </c>
      <c r="J570" t="s">
        <v>1125</v>
      </c>
      <c r="K570" t="s">
        <v>1126</v>
      </c>
    </row>
    <row r="571" spans="1:11">
      <c r="A571" t="s">
        <v>860</v>
      </c>
      <c r="B571">
        <v>480</v>
      </c>
      <c r="C571" t="s">
        <v>128</v>
      </c>
      <c r="D571" t="str">
        <f>"B2060V"</f>
        <v>B2060V</v>
      </c>
      <c r="E571" t="str">
        <f>"B2060V"</f>
        <v>B2060V</v>
      </c>
      <c r="F571" t="str">
        <f>"B2060V"</f>
        <v>B2060V</v>
      </c>
      <c r="G571" t="str">
        <f>"8032928105002"</f>
        <v>8032928105002</v>
      </c>
      <c r="H571" t="str">
        <f t="shared" si="9"/>
        <v>Normal</v>
      </c>
      <c r="I571">
        <v>570</v>
      </c>
      <c r="J571" t="s">
        <v>1127</v>
      </c>
      <c r="K571" s="1" t="s">
        <v>1128</v>
      </c>
    </row>
    <row r="572" spans="1:11">
      <c r="A572" t="s">
        <v>860</v>
      </c>
      <c r="B572">
        <v>480</v>
      </c>
      <c r="C572" t="s">
        <v>128</v>
      </c>
      <c r="D572" t="str">
        <f>"B2061V"</f>
        <v>B2061V</v>
      </c>
      <c r="E572" t="str">
        <f>"B2061V"</f>
        <v>B2061V</v>
      </c>
      <c r="F572" t="str">
        <f>"B2061V"</f>
        <v>B2061V</v>
      </c>
      <c r="G572" t="str">
        <f>"8032532069509"</f>
        <v>8032532069509</v>
      </c>
      <c r="H572" t="str">
        <f t="shared" si="9"/>
        <v>Normal</v>
      </c>
      <c r="I572">
        <v>571</v>
      </c>
      <c r="J572" t="s">
        <v>1129</v>
      </c>
      <c r="K572" s="1" t="s">
        <v>1130</v>
      </c>
    </row>
    <row r="573" spans="1:11">
      <c r="A573" t="s">
        <v>860</v>
      </c>
      <c r="B573">
        <v>480</v>
      </c>
      <c r="C573" t="s">
        <v>128</v>
      </c>
      <c r="D573" t="str">
        <f>"B2062V"</f>
        <v>B2062V</v>
      </c>
      <c r="E573" t="str">
        <f>"B2062V"</f>
        <v>B2062V</v>
      </c>
      <c r="F573" t="str">
        <f>"B2062V"</f>
        <v>B2062V</v>
      </c>
      <c r="G573" t="str">
        <f>"8032928105019"</f>
        <v>8032928105019</v>
      </c>
      <c r="H573" t="str">
        <f t="shared" si="9"/>
        <v>Normal</v>
      </c>
      <c r="I573">
        <v>572</v>
      </c>
      <c r="J573" t="s">
        <v>1131</v>
      </c>
      <c r="K573" t="s">
        <v>1132</v>
      </c>
    </row>
    <row r="574" spans="1:11">
      <c r="A574" t="s">
        <v>860</v>
      </c>
      <c r="B574">
        <v>480</v>
      </c>
      <c r="C574" t="s">
        <v>128</v>
      </c>
      <c r="D574" t="str">
        <f>"B2063V"</f>
        <v>B2063V</v>
      </c>
      <c r="E574" t="str">
        <f>"B2063V"</f>
        <v>B2063V</v>
      </c>
      <c r="F574" t="str">
        <f>"B2063V"</f>
        <v>B2063V</v>
      </c>
      <c r="G574" t="str">
        <f>"8032928105828"</f>
        <v>8032928105828</v>
      </c>
      <c r="H574" t="str">
        <f t="shared" si="9"/>
        <v>Normal</v>
      </c>
      <c r="I574">
        <v>573</v>
      </c>
      <c r="J574" t="s">
        <v>1133</v>
      </c>
      <c r="K574" s="1" t="s">
        <v>1134</v>
      </c>
    </row>
    <row r="575" spans="1:11">
      <c r="A575" t="s">
        <v>860</v>
      </c>
      <c r="B575">
        <v>480</v>
      </c>
      <c r="C575" t="s">
        <v>128</v>
      </c>
      <c r="D575" t="str">
        <f>"B2064V"</f>
        <v>B2064V</v>
      </c>
      <c r="E575" t="str">
        <f>"B2064V"</f>
        <v>B2064V</v>
      </c>
      <c r="F575" t="str">
        <f>"B2064V"</f>
        <v>B2064V</v>
      </c>
      <c r="G575" t="str">
        <f>"8032928106306"</f>
        <v>8032928106306</v>
      </c>
      <c r="H575" t="str">
        <f t="shared" si="9"/>
        <v>Normal</v>
      </c>
      <c r="I575">
        <v>574</v>
      </c>
      <c r="J575" t="s">
        <v>1135</v>
      </c>
      <c r="K575" t="s">
        <v>1136</v>
      </c>
    </row>
    <row r="576" spans="1:11">
      <c r="A576" t="s">
        <v>860</v>
      </c>
      <c r="B576">
        <v>480</v>
      </c>
      <c r="C576" t="s">
        <v>128</v>
      </c>
      <c r="D576" t="str">
        <f>"B2065V"</f>
        <v>B2065V</v>
      </c>
      <c r="E576" t="str">
        <f>"B2065V"</f>
        <v>B2065V</v>
      </c>
      <c r="F576" t="str">
        <f>"B2065V"</f>
        <v>B2065V</v>
      </c>
      <c r="G576" t="str">
        <f>"8032928108454"</f>
        <v>8032928108454</v>
      </c>
      <c r="H576" t="str">
        <f t="shared" si="9"/>
        <v>Normal</v>
      </c>
      <c r="I576">
        <v>575</v>
      </c>
      <c r="J576" t="s">
        <v>1137</v>
      </c>
      <c r="K576" t="s">
        <v>1138</v>
      </c>
    </row>
    <row r="577" spans="1:11">
      <c r="A577" t="s">
        <v>860</v>
      </c>
      <c r="B577">
        <v>480</v>
      </c>
      <c r="C577" t="s">
        <v>128</v>
      </c>
      <c r="D577" t="str">
        <f>"B2066V"</f>
        <v>B2066V</v>
      </c>
      <c r="E577" t="str">
        <f>"B2066V"</f>
        <v>B2066V</v>
      </c>
      <c r="F577" t="str">
        <f>"B2066V"</f>
        <v>B2066V</v>
      </c>
      <c r="G577" t="str">
        <f>"8032928108461"</f>
        <v>8032928108461</v>
      </c>
      <c r="H577" t="str">
        <f t="shared" si="9"/>
        <v>Normal</v>
      </c>
      <c r="I577">
        <v>576</v>
      </c>
      <c r="J577" t="s">
        <v>1139</v>
      </c>
      <c r="K577" t="s">
        <v>1140</v>
      </c>
    </row>
    <row r="578" spans="1:11">
      <c r="A578" t="s">
        <v>860</v>
      </c>
      <c r="B578">
        <v>480</v>
      </c>
      <c r="C578" t="s">
        <v>128</v>
      </c>
      <c r="D578" t="str">
        <f>"B2067V"</f>
        <v>B2067V</v>
      </c>
      <c r="E578" t="str">
        <f>"B2067V"</f>
        <v>B2067V</v>
      </c>
      <c r="F578" t="str">
        <f>"B2067V"</f>
        <v>B2067V</v>
      </c>
      <c r="G578" t="str">
        <f>"8032928108874"</f>
        <v>8032928108874</v>
      </c>
      <c r="H578" t="str">
        <f t="shared" si="9"/>
        <v>Normal</v>
      </c>
      <c r="I578">
        <v>577</v>
      </c>
      <c r="J578" t="s">
        <v>1141</v>
      </c>
      <c r="K578" s="1" t="s">
        <v>1142</v>
      </c>
    </row>
    <row r="579" spans="1:11">
      <c r="A579" t="s">
        <v>860</v>
      </c>
      <c r="B579">
        <v>480</v>
      </c>
      <c r="C579" t="s">
        <v>128</v>
      </c>
      <c r="D579" t="str">
        <f>"B2068V"</f>
        <v>B2068V</v>
      </c>
      <c r="E579" t="str">
        <f>"B2068V"</f>
        <v>B2068V</v>
      </c>
      <c r="F579" t="str">
        <f>"B2068V"</f>
        <v>B2068V</v>
      </c>
      <c r="G579" t="str">
        <f>"8032928108881"</f>
        <v>8032928108881</v>
      </c>
      <c r="H579" t="str">
        <f t="shared" si="9"/>
        <v>Normal</v>
      </c>
      <c r="I579">
        <v>578</v>
      </c>
      <c r="J579" t="s">
        <v>1143</v>
      </c>
      <c r="K579" s="1" t="s">
        <v>1144</v>
      </c>
    </row>
    <row r="580" spans="1:11">
      <c r="A580" t="s">
        <v>860</v>
      </c>
      <c r="B580">
        <v>480</v>
      </c>
      <c r="C580" t="s">
        <v>128</v>
      </c>
      <c r="D580" t="str">
        <f>"B2069V"</f>
        <v>B2069V</v>
      </c>
      <c r="E580" t="str">
        <f>"B2069V"</f>
        <v>B2069V</v>
      </c>
      <c r="F580" t="str">
        <f>"B2069V"</f>
        <v>B2069V</v>
      </c>
      <c r="G580" t="str">
        <f>"8032928136310"</f>
        <v>8032928136310</v>
      </c>
      <c r="H580" t="str">
        <f t="shared" si="9"/>
        <v>Normal</v>
      </c>
      <c r="I580">
        <v>579</v>
      </c>
      <c r="J580" t="s">
        <v>1145</v>
      </c>
      <c r="K580" s="1" t="s">
        <v>1146</v>
      </c>
    </row>
    <row r="581" spans="1:11">
      <c r="A581" t="s">
        <v>860</v>
      </c>
      <c r="B581">
        <v>480</v>
      </c>
      <c r="C581" t="s">
        <v>128</v>
      </c>
      <c r="D581" t="str">
        <f>"B2070V"</f>
        <v>B2070V</v>
      </c>
      <c r="E581" t="str">
        <f>"B2070V"</f>
        <v>B2070V</v>
      </c>
      <c r="F581" t="str">
        <f>"B2070V"</f>
        <v>B2070V</v>
      </c>
      <c r="G581" t="str">
        <f>"8032928136365"</f>
        <v>8032928136365</v>
      </c>
      <c r="H581" t="str">
        <f t="shared" si="9"/>
        <v>Normal</v>
      </c>
      <c r="I581">
        <v>580</v>
      </c>
      <c r="J581" t="s">
        <v>1147</v>
      </c>
      <c r="K581" t="s">
        <v>1148</v>
      </c>
    </row>
    <row r="582" spans="1:11">
      <c r="A582" t="s">
        <v>860</v>
      </c>
      <c r="B582">
        <v>480</v>
      </c>
      <c r="C582" t="s">
        <v>128</v>
      </c>
      <c r="D582" t="str">
        <f>"B2071P"</f>
        <v>B2071P</v>
      </c>
      <c r="E582" t="str">
        <f>"B2071P"</f>
        <v>B2071P</v>
      </c>
      <c r="F582" t="str">
        <f>"B2071P"</f>
        <v>B2071P</v>
      </c>
      <c r="G582" t="str">
        <f>"8032532069516"</f>
        <v>8032532069516</v>
      </c>
      <c r="H582" t="str">
        <f t="shared" si="9"/>
        <v>Normal</v>
      </c>
      <c r="I582">
        <v>581</v>
      </c>
      <c r="J582" t="s">
        <v>1149</v>
      </c>
      <c r="K582" s="1" t="s">
        <v>1150</v>
      </c>
    </row>
    <row r="583" spans="1:11">
      <c r="A583" t="s">
        <v>860</v>
      </c>
      <c r="B583">
        <v>480</v>
      </c>
      <c r="C583" t="s">
        <v>128</v>
      </c>
      <c r="D583" t="str">
        <f>"B2072P"</f>
        <v>B2072P</v>
      </c>
      <c r="E583" t="str">
        <f>"B2072P"</f>
        <v>B2072P</v>
      </c>
      <c r="F583" t="str">
        <f>"B2072P"</f>
        <v>B2072P</v>
      </c>
      <c r="G583" t="str">
        <f>"8032928150002"</f>
        <v>8032928150002</v>
      </c>
      <c r="H583" t="str">
        <f t="shared" si="9"/>
        <v>Normal</v>
      </c>
      <c r="I583">
        <v>582</v>
      </c>
      <c r="J583" t="s">
        <v>1151</v>
      </c>
      <c r="K583" s="1" t="s">
        <v>1152</v>
      </c>
    </row>
    <row r="584" spans="1:11">
      <c r="A584" t="s">
        <v>860</v>
      </c>
      <c r="B584">
        <v>480</v>
      </c>
      <c r="C584" t="s">
        <v>128</v>
      </c>
      <c r="D584" t="str">
        <f>"B2073V"</f>
        <v>B2073V</v>
      </c>
      <c r="E584" t="str">
        <f>"B2073V"</f>
        <v>B2073V</v>
      </c>
      <c r="F584" t="str">
        <f>"B2073V"</f>
        <v>B2073V</v>
      </c>
      <c r="G584" t="str">
        <f>"8032928150071"</f>
        <v>8032928150071</v>
      </c>
      <c r="H584" t="str">
        <f t="shared" si="9"/>
        <v>Normal</v>
      </c>
      <c r="I584">
        <v>583</v>
      </c>
      <c r="J584" t="s">
        <v>1153</v>
      </c>
      <c r="K584" t="s">
        <v>1154</v>
      </c>
    </row>
    <row r="585" spans="1:11">
      <c r="A585" t="s">
        <v>860</v>
      </c>
      <c r="B585">
        <v>480</v>
      </c>
      <c r="C585" t="s">
        <v>128</v>
      </c>
      <c r="D585" t="str">
        <f>"B2074V"</f>
        <v>B2074V</v>
      </c>
      <c r="E585" t="str">
        <f>"B2074V"</f>
        <v>B2074V</v>
      </c>
      <c r="F585" t="str">
        <f>"B2074V"</f>
        <v>B2074V</v>
      </c>
      <c r="G585" t="str">
        <f>"8032928150088"</f>
        <v>8032928150088</v>
      </c>
      <c r="H585" t="str">
        <f t="shared" si="9"/>
        <v>Normal</v>
      </c>
      <c r="I585">
        <v>584</v>
      </c>
      <c r="J585" t="s">
        <v>1155</v>
      </c>
      <c r="K585" t="s">
        <v>1156</v>
      </c>
    </row>
    <row r="586" spans="1:11">
      <c r="A586" t="s">
        <v>860</v>
      </c>
      <c r="B586">
        <v>480</v>
      </c>
      <c r="C586" t="s">
        <v>128</v>
      </c>
      <c r="D586" t="str">
        <f>"B2075V"</f>
        <v>B2075V</v>
      </c>
      <c r="E586" t="str">
        <f>"B2075V"</f>
        <v>B2075V</v>
      </c>
      <c r="F586" t="str">
        <f>"B2075V"</f>
        <v>B2075V</v>
      </c>
      <c r="G586" t="str">
        <f>"8032928154635"</f>
        <v>8032928154635</v>
      </c>
      <c r="H586" t="str">
        <f t="shared" si="9"/>
        <v>Normal</v>
      </c>
      <c r="I586">
        <v>585</v>
      </c>
      <c r="J586" t="s">
        <v>1157</v>
      </c>
      <c r="K586" t="s">
        <v>1158</v>
      </c>
    </row>
    <row r="587" spans="1:11">
      <c r="A587" t="s">
        <v>860</v>
      </c>
      <c r="B587">
        <v>480</v>
      </c>
      <c r="C587" t="s">
        <v>128</v>
      </c>
      <c r="D587" t="str">
        <f>"B2076V"</f>
        <v>B2076V</v>
      </c>
      <c r="E587" t="str">
        <f>"B2076V"</f>
        <v>B2076V</v>
      </c>
      <c r="F587" t="str">
        <f>"B2076V"</f>
        <v>B2076V</v>
      </c>
      <c r="G587" t="str">
        <f>"8032928155472"</f>
        <v>8032928155472</v>
      </c>
      <c r="H587" t="str">
        <f t="shared" si="9"/>
        <v>Normal</v>
      </c>
      <c r="I587">
        <v>586</v>
      </c>
      <c r="J587" t="s">
        <v>1159</v>
      </c>
      <c r="K587" t="s">
        <v>1160</v>
      </c>
    </row>
    <row r="588" spans="1:11">
      <c r="A588" t="s">
        <v>860</v>
      </c>
      <c r="B588">
        <v>480</v>
      </c>
      <c r="C588" t="s">
        <v>128</v>
      </c>
      <c r="D588" t="str">
        <f>"B2077V"</f>
        <v>B2077V</v>
      </c>
      <c r="E588" t="str">
        <f>"B2077V"</f>
        <v>B2077V</v>
      </c>
      <c r="F588" t="str">
        <f>"B2077V"</f>
        <v>B2077V</v>
      </c>
      <c r="G588" t="str">
        <f>"8032928155489"</f>
        <v>8032928155489</v>
      </c>
      <c r="H588" t="str">
        <f t="shared" si="9"/>
        <v>Normal</v>
      </c>
      <c r="I588">
        <v>587</v>
      </c>
      <c r="J588" t="s">
        <v>1161</v>
      </c>
      <c r="K588" t="s">
        <v>1162</v>
      </c>
    </row>
    <row r="589" spans="1:11">
      <c r="A589" t="s">
        <v>860</v>
      </c>
      <c r="B589">
        <v>480</v>
      </c>
      <c r="C589" t="s">
        <v>128</v>
      </c>
      <c r="D589" t="str">
        <f>"B2078P"</f>
        <v>B2078P</v>
      </c>
      <c r="E589" t="str">
        <f>"B2078P"</f>
        <v>B2078P</v>
      </c>
      <c r="F589" t="str">
        <f>"B2078P"</f>
        <v>B2078P</v>
      </c>
      <c r="G589" t="str">
        <f>"8032928155496"</f>
        <v>8032928155496</v>
      </c>
      <c r="H589" t="str">
        <f t="shared" si="9"/>
        <v>Normal</v>
      </c>
      <c r="I589">
        <v>588</v>
      </c>
      <c r="J589" t="s">
        <v>1163</v>
      </c>
      <c r="K589" t="s">
        <v>1164</v>
      </c>
    </row>
    <row r="590" spans="1:11">
      <c r="A590" t="s">
        <v>860</v>
      </c>
      <c r="B590">
        <v>480</v>
      </c>
      <c r="C590" t="s">
        <v>128</v>
      </c>
      <c r="D590" t="str">
        <f>"B2079V"</f>
        <v>B2079V</v>
      </c>
      <c r="E590" t="str">
        <f>"B2079V"</f>
        <v>B2079V</v>
      </c>
      <c r="F590" t="str">
        <f>"B2079V"</f>
        <v>B2079V</v>
      </c>
      <c r="G590" t="str">
        <f>"8032928155502"</f>
        <v>8032928155502</v>
      </c>
      <c r="H590" t="str">
        <f t="shared" si="9"/>
        <v>Normal</v>
      </c>
      <c r="I590">
        <v>589</v>
      </c>
      <c r="J590" t="s">
        <v>1165</v>
      </c>
      <c r="K590" t="s">
        <v>1166</v>
      </c>
    </row>
    <row r="591" spans="1:11">
      <c r="A591" t="s">
        <v>860</v>
      </c>
      <c r="B591">
        <v>480</v>
      </c>
      <c r="C591" t="s">
        <v>128</v>
      </c>
      <c r="D591" t="str">
        <f>"B2080V"</f>
        <v>B2080V</v>
      </c>
      <c r="E591" t="str">
        <f>"B2080V"</f>
        <v>B2080V</v>
      </c>
      <c r="F591" t="str">
        <f>"B2080V"</f>
        <v>B2080V</v>
      </c>
      <c r="G591" t="str">
        <f>"8032928155519"</f>
        <v>8032928155519</v>
      </c>
      <c r="H591" t="str">
        <f t="shared" si="9"/>
        <v>Normal</v>
      </c>
      <c r="I591">
        <v>590</v>
      </c>
      <c r="J591" t="s">
        <v>1167</v>
      </c>
      <c r="K591" t="s">
        <v>1168</v>
      </c>
    </row>
    <row r="592" spans="1:11">
      <c r="A592" t="s">
        <v>860</v>
      </c>
      <c r="B592">
        <v>480</v>
      </c>
      <c r="C592" t="s">
        <v>128</v>
      </c>
      <c r="D592" t="str">
        <f>"B2081P"</f>
        <v>B2081P</v>
      </c>
      <c r="E592" t="str">
        <f>"B2081P"</f>
        <v>B2081P</v>
      </c>
      <c r="F592" t="str">
        <f>"B2081P"</f>
        <v>B2081P</v>
      </c>
      <c r="G592" t="str">
        <f>"8032532069523"</f>
        <v>8032532069523</v>
      </c>
      <c r="H592" t="str">
        <f t="shared" si="9"/>
        <v>Normal</v>
      </c>
      <c r="I592">
        <v>591</v>
      </c>
      <c r="J592" t="s">
        <v>1169</v>
      </c>
      <c r="K592" s="1" t="s">
        <v>1170</v>
      </c>
    </row>
    <row r="593" spans="1:11">
      <c r="A593" t="s">
        <v>860</v>
      </c>
      <c r="B593">
        <v>480</v>
      </c>
      <c r="C593" t="s">
        <v>128</v>
      </c>
      <c r="D593" t="str">
        <f>"B2091P"</f>
        <v>B2091P</v>
      </c>
      <c r="E593" t="str">
        <f>"B2091P"</f>
        <v>B2091P</v>
      </c>
      <c r="F593" t="str">
        <f>"B2091P"</f>
        <v>B2091P</v>
      </c>
      <c r="G593" t="str">
        <f>"8032532069530"</f>
        <v>8032532069530</v>
      </c>
      <c r="H593" t="str">
        <f t="shared" si="9"/>
        <v>Normal</v>
      </c>
      <c r="I593">
        <v>592</v>
      </c>
      <c r="J593" t="s">
        <v>1171</v>
      </c>
      <c r="K593" s="1" t="s">
        <v>1172</v>
      </c>
    </row>
    <row r="594" spans="1:11">
      <c r="A594" t="s">
        <v>860</v>
      </c>
      <c r="B594">
        <v>480</v>
      </c>
      <c r="C594" t="s">
        <v>128</v>
      </c>
      <c r="D594" t="str">
        <f>"B2101V"</f>
        <v>B2101V</v>
      </c>
      <c r="E594" t="str">
        <f>"B2101V"</f>
        <v>B2101V</v>
      </c>
      <c r="F594" t="str">
        <f>"B2101V"</f>
        <v>B2101V</v>
      </c>
      <c r="G594" t="str">
        <f>"8032532069547"</f>
        <v>8032532069547</v>
      </c>
      <c r="H594" t="str">
        <f t="shared" si="9"/>
        <v>Normal</v>
      </c>
      <c r="I594">
        <v>593</v>
      </c>
      <c r="J594" t="s">
        <v>1173</v>
      </c>
      <c r="K594" s="1" t="s">
        <v>1174</v>
      </c>
    </row>
    <row r="595" spans="1:11">
      <c r="A595" t="s">
        <v>860</v>
      </c>
      <c r="B595">
        <v>480</v>
      </c>
      <c r="C595" t="s">
        <v>128</v>
      </c>
      <c r="D595" t="str">
        <f>"B2111P"</f>
        <v>B2111P</v>
      </c>
      <c r="E595" t="str">
        <f>"B2111P"</f>
        <v>B2111P</v>
      </c>
      <c r="F595" t="str">
        <f>"B2111P"</f>
        <v>B2111P</v>
      </c>
      <c r="G595" t="str">
        <f>"8032532069554"</f>
        <v>8032532069554</v>
      </c>
      <c r="H595" t="str">
        <f t="shared" si="9"/>
        <v>Normal</v>
      </c>
      <c r="I595">
        <v>594</v>
      </c>
      <c r="J595" t="s">
        <v>1175</v>
      </c>
      <c r="K595" s="1" t="s">
        <v>1176</v>
      </c>
    </row>
    <row r="596" spans="1:11">
      <c r="A596" t="s">
        <v>860</v>
      </c>
      <c r="B596">
        <v>480</v>
      </c>
      <c r="C596" t="s">
        <v>128</v>
      </c>
      <c r="D596" t="str">
        <f>"B2121P"</f>
        <v>B2121P</v>
      </c>
      <c r="E596" t="str">
        <f>"B2121P"</f>
        <v>B2121P</v>
      </c>
      <c r="F596" t="str">
        <f>"B2121P"</f>
        <v>B2121P</v>
      </c>
      <c r="G596" t="str">
        <f>"8032532069561"</f>
        <v>8032532069561</v>
      </c>
      <c r="H596" t="str">
        <f t="shared" si="9"/>
        <v>Normal</v>
      </c>
      <c r="I596">
        <v>595</v>
      </c>
      <c r="J596" t="s">
        <v>1177</v>
      </c>
      <c r="K596" s="1" t="s">
        <v>1178</v>
      </c>
    </row>
    <row r="597" spans="1:11">
      <c r="A597" t="s">
        <v>860</v>
      </c>
      <c r="B597">
        <v>480</v>
      </c>
      <c r="C597" t="s">
        <v>128</v>
      </c>
      <c r="D597" t="str">
        <f>"B2131P"</f>
        <v>B2131P</v>
      </c>
      <c r="E597" t="str">
        <f>"B2131P"</f>
        <v>B2131P</v>
      </c>
      <c r="F597" t="str">
        <f>"B2131P"</f>
        <v>B2131P</v>
      </c>
      <c r="G597" t="str">
        <f>"8032532069578"</f>
        <v>8032532069578</v>
      </c>
      <c r="H597" t="str">
        <f t="shared" si="9"/>
        <v>Normal</v>
      </c>
      <c r="I597">
        <v>596</v>
      </c>
      <c r="J597" t="s">
        <v>1179</v>
      </c>
      <c r="K597" s="1" t="s">
        <v>1180</v>
      </c>
    </row>
    <row r="598" spans="1:11">
      <c r="A598" t="s">
        <v>860</v>
      </c>
      <c r="B598">
        <v>480</v>
      </c>
      <c r="C598" t="s">
        <v>128</v>
      </c>
      <c r="D598" t="str">
        <f>"B2171V"</f>
        <v>B2171V</v>
      </c>
      <c r="E598" t="str">
        <f>"B2171V"</f>
        <v>B2171V</v>
      </c>
      <c r="F598" t="str">
        <f>"B2171V"</f>
        <v>B2171V</v>
      </c>
      <c r="G598" t="str">
        <f>"8032532069615"</f>
        <v>8032532069615</v>
      </c>
      <c r="H598" t="str">
        <f t="shared" si="9"/>
        <v>Normal</v>
      </c>
      <c r="I598">
        <v>597</v>
      </c>
      <c r="J598" t="s">
        <v>1181</v>
      </c>
      <c r="K598" s="1" t="s">
        <v>1182</v>
      </c>
    </row>
    <row r="599" spans="1:11">
      <c r="A599" t="s">
        <v>860</v>
      </c>
      <c r="B599">
        <v>480</v>
      </c>
      <c r="C599" t="s">
        <v>128</v>
      </c>
      <c r="D599" t="str">
        <f>"B2191V"</f>
        <v>B2191V</v>
      </c>
      <c r="E599" t="str">
        <f>"B2191V"</f>
        <v>B2191V</v>
      </c>
      <c r="F599" t="str">
        <f>"B2191V"</f>
        <v>B2191V</v>
      </c>
      <c r="G599" t="str">
        <f>"8032532069639"</f>
        <v>8032532069639</v>
      </c>
      <c r="H599" t="str">
        <f t="shared" si="9"/>
        <v>Normal</v>
      </c>
      <c r="I599">
        <v>598</v>
      </c>
      <c r="J599" t="s">
        <v>1183</v>
      </c>
      <c r="K599" s="1" t="s">
        <v>1184</v>
      </c>
    </row>
    <row r="600" spans="1:11">
      <c r="A600" t="s">
        <v>860</v>
      </c>
      <c r="B600">
        <v>480</v>
      </c>
      <c r="C600" t="s">
        <v>128</v>
      </c>
      <c r="D600" t="str">
        <f>"B2201V"</f>
        <v>B2201V</v>
      </c>
      <c r="E600" t="str">
        <f>"B2201V"</f>
        <v>B2201V</v>
      </c>
      <c r="F600" t="str">
        <f>"B2201V"</f>
        <v>B2201V</v>
      </c>
      <c r="G600" t="str">
        <f>"8032532069646"</f>
        <v>8032532069646</v>
      </c>
      <c r="H600" t="str">
        <f t="shared" si="9"/>
        <v>Normal</v>
      </c>
      <c r="I600">
        <v>599</v>
      </c>
      <c r="J600" t="s">
        <v>1185</v>
      </c>
      <c r="K600" s="1" t="s">
        <v>1186</v>
      </c>
    </row>
    <row r="601" spans="1:11">
      <c r="A601" t="s">
        <v>860</v>
      </c>
      <c r="B601">
        <v>480</v>
      </c>
      <c r="C601" t="s">
        <v>128</v>
      </c>
      <c r="D601" t="str">
        <f>"B2211P"</f>
        <v>B2211P</v>
      </c>
      <c r="E601" t="str">
        <f>"B2211P"</f>
        <v>B2211P</v>
      </c>
      <c r="F601" t="str">
        <f>"B2211P"</f>
        <v>B2211P</v>
      </c>
      <c r="G601" t="str">
        <f>"8032532069653"</f>
        <v>8032532069653</v>
      </c>
      <c r="H601" t="str">
        <f t="shared" si="9"/>
        <v>Normal</v>
      </c>
      <c r="I601">
        <v>600</v>
      </c>
      <c r="J601" t="s">
        <v>1187</v>
      </c>
      <c r="K601" s="1" t="s">
        <v>1188</v>
      </c>
    </row>
    <row r="602" spans="1:11">
      <c r="A602" t="s">
        <v>860</v>
      </c>
      <c r="B602">
        <v>480</v>
      </c>
      <c r="C602" t="s">
        <v>128</v>
      </c>
      <c r="D602" t="str">
        <f>"B2221P"</f>
        <v>B2221P</v>
      </c>
      <c r="E602" t="str">
        <f>"B2221P"</f>
        <v>B2221P</v>
      </c>
      <c r="F602" t="str">
        <f>"B2221P"</f>
        <v>B2221P</v>
      </c>
      <c r="G602" t="str">
        <f>"8032532069660"</f>
        <v>8032532069660</v>
      </c>
      <c r="H602" t="str">
        <f t="shared" si="9"/>
        <v>Normal</v>
      </c>
      <c r="I602">
        <v>601</v>
      </c>
      <c r="J602" t="s">
        <v>1189</v>
      </c>
      <c r="K602" s="1" t="s">
        <v>1190</v>
      </c>
    </row>
    <row r="603" spans="1:11">
      <c r="A603" t="s">
        <v>860</v>
      </c>
      <c r="B603">
        <v>480</v>
      </c>
      <c r="C603" t="s">
        <v>128</v>
      </c>
      <c r="D603" t="str">
        <f>"B2231P"</f>
        <v>B2231P</v>
      </c>
      <c r="E603" t="str">
        <f>"B2231P"</f>
        <v>B2231P</v>
      </c>
      <c r="F603" t="str">
        <f>"B2231P"</f>
        <v>B2231P</v>
      </c>
      <c r="G603" t="str">
        <f>"8032532069677"</f>
        <v>8032532069677</v>
      </c>
      <c r="H603" t="str">
        <f t="shared" si="9"/>
        <v>Normal</v>
      </c>
      <c r="I603">
        <v>602</v>
      </c>
      <c r="J603" t="s">
        <v>1191</v>
      </c>
      <c r="K603" s="1" t="s">
        <v>1192</v>
      </c>
    </row>
    <row r="604" spans="1:11">
      <c r="A604" t="s">
        <v>860</v>
      </c>
      <c r="B604">
        <v>480</v>
      </c>
      <c r="C604" t="s">
        <v>128</v>
      </c>
      <c r="D604" t="str">
        <f>"B2241P"</f>
        <v>B2241P</v>
      </c>
      <c r="E604" t="str">
        <f>"B2241P"</f>
        <v>B2241P</v>
      </c>
      <c r="F604" t="str">
        <f>"B2241P"</f>
        <v>B2241P</v>
      </c>
      <c r="G604" t="str">
        <f>"8032532069684"</f>
        <v>8032532069684</v>
      </c>
      <c r="H604" t="str">
        <f t="shared" si="9"/>
        <v>Normal</v>
      </c>
      <c r="I604">
        <v>603</v>
      </c>
      <c r="J604" t="s">
        <v>1193</v>
      </c>
      <c r="K604" s="1" t="s">
        <v>1194</v>
      </c>
    </row>
    <row r="605" spans="1:11">
      <c r="A605" t="s">
        <v>860</v>
      </c>
      <c r="B605">
        <v>480</v>
      </c>
      <c r="C605" t="s">
        <v>128</v>
      </c>
      <c r="D605" t="str">
        <f>"B2251V"</f>
        <v>B2251V</v>
      </c>
      <c r="E605" t="str">
        <f>"B2251V"</f>
        <v>B2251V</v>
      </c>
      <c r="F605" t="str">
        <f>"B2251V"</f>
        <v>B2251V</v>
      </c>
      <c r="G605" t="str">
        <f>"8032532069691"</f>
        <v>8032532069691</v>
      </c>
      <c r="H605" t="str">
        <f t="shared" si="9"/>
        <v>Normal</v>
      </c>
      <c r="I605">
        <v>604</v>
      </c>
      <c r="J605" t="s">
        <v>1195</v>
      </c>
      <c r="K605" s="1" t="s">
        <v>1196</v>
      </c>
    </row>
    <row r="606" spans="1:11">
      <c r="A606" t="s">
        <v>860</v>
      </c>
      <c r="B606">
        <v>480</v>
      </c>
      <c r="C606" t="s">
        <v>128</v>
      </c>
      <c r="D606" t="str">
        <f>"B2361P"</f>
        <v>B2361P</v>
      </c>
      <c r="E606" t="str">
        <f>"B2361P"</f>
        <v>B2361P</v>
      </c>
      <c r="F606" t="str">
        <f>"B2361P"</f>
        <v>B2361P</v>
      </c>
      <c r="G606" t="str">
        <f>"8032532069707"</f>
        <v>8032532069707</v>
      </c>
      <c r="H606" t="str">
        <f t="shared" si="9"/>
        <v>Normal</v>
      </c>
      <c r="I606">
        <v>605</v>
      </c>
      <c r="J606" t="s">
        <v>1197</v>
      </c>
      <c r="K606" s="1" t="s">
        <v>1198</v>
      </c>
    </row>
    <row r="607" spans="1:11">
      <c r="A607" t="s">
        <v>860</v>
      </c>
      <c r="B607">
        <v>480</v>
      </c>
      <c r="C607" t="s">
        <v>128</v>
      </c>
      <c r="D607" t="str">
        <f>"B2361PR"</f>
        <v>B2361PR</v>
      </c>
      <c r="E607" t="str">
        <f>"B2361PR"</f>
        <v>B2361PR</v>
      </c>
      <c r="F607" t="str">
        <f>"B2361PR"</f>
        <v>B2361PR</v>
      </c>
      <c r="G607" t="str">
        <f>"8032928150415"</f>
        <v>8032928150415</v>
      </c>
      <c r="H607" t="str">
        <f t="shared" si="9"/>
        <v>Normal</v>
      </c>
      <c r="I607">
        <v>606</v>
      </c>
      <c r="J607" t="s">
        <v>1199</v>
      </c>
      <c r="K607" s="1" t="s">
        <v>1200</v>
      </c>
    </row>
    <row r="608" spans="1:11">
      <c r="A608" t="s">
        <v>860</v>
      </c>
      <c r="B608">
        <v>480</v>
      </c>
      <c r="C608" t="s">
        <v>128</v>
      </c>
      <c r="D608" t="str">
        <f>"B2371P"</f>
        <v>B2371P</v>
      </c>
      <c r="E608" t="str">
        <f>"B2371P"</f>
        <v>B2371P</v>
      </c>
      <c r="F608" t="str">
        <f>"B2371P"</f>
        <v>B2371P</v>
      </c>
      <c r="G608" t="str">
        <f>"8032532069714"</f>
        <v>8032532069714</v>
      </c>
      <c r="H608" t="str">
        <f t="shared" ref="H608:H618" si="10">"Normal"</f>
        <v>Normal</v>
      </c>
      <c r="I608">
        <v>607</v>
      </c>
      <c r="J608" t="s">
        <v>1201</v>
      </c>
      <c r="K608" s="1" t="s">
        <v>1202</v>
      </c>
    </row>
    <row r="609" spans="1:11">
      <c r="A609" t="s">
        <v>860</v>
      </c>
      <c r="B609">
        <v>480</v>
      </c>
      <c r="C609" t="s">
        <v>128</v>
      </c>
      <c r="D609" t="str">
        <f>"B2371PR"</f>
        <v>B2371PR</v>
      </c>
      <c r="E609" t="str">
        <f>"B2371PR"</f>
        <v>B2371PR</v>
      </c>
      <c r="F609" t="str">
        <f>"B2371PR"</f>
        <v>B2371PR</v>
      </c>
      <c r="G609" t="str">
        <f>"8032928100083"</f>
        <v>8032928100083</v>
      </c>
      <c r="H609" t="str">
        <f t="shared" si="10"/>
        <v>Normal</v>
      </c>
      <c r="I609">
        <v>608</v>
      </c>
      <c r="J609" t="s">
        <v>1203</v>
      </c>
      <c r="K609" t="s">
        <v>1204</v>
      </c>
    </row>
    <row r="610" spans="1:11">
      <c r="A610" t="s">
        <v>860</v>
      </c>
      <c r="B610">
        <v>480</v>
      </c>
      <c r="C610" t="s">
        <v>128</v>
      </c>
      <c r="D610" t="str">
        <f>"B2381V"</f>
        <v>B2381V</v>
      </c>
      <c r="E610" t="str">
        <f>"B2381V"</f>
        <v>B2381V</v>
      </c>
      <c r="F610" t="str">
        <f>"B2381V"</f>
        <v>B2381V</v>
      </c>
      <c r="G610" t="str">
        <f>"8032532069721"</f>
        <v>8032532069721</v>
      </c>
      <c r="H610" t="str">
        <f t="shared" si="10"/>
        <v>Normal</v>
      </c>
      <c r="I610">
        <v>609</v>
      </c>
      <c r="J610" t="s">
        <v>1205</v>
      </c>
      <c r="K610" s="1" t="s">
        <v>1206</v>
      </c>
    </row>
    <row r="611" spans="1:11">
      <c r="A611" t="s">
        <v>860</v>
      </c>
      <c r="B611">
        <v>480</v>
      </c>
      <c r="C611" t="s">
        <v>128</v>
      </c>
      <c r="D611" t="str">
        <f>"B2381VR"</f>
        <v>B2381VR</v>
      </c>
      <c r="E611" t="str">
        <f>"B2381VR"</f>
        <v>B2381VR</v>
      </c>
      <c r="F611" t="str">
        <f>"B2381VR"</f>
        <v>B2381VR</v>
      </c>
      <c r="G611" t="str">
        <f>"8032928100090"</f>
        <v>8032928100090</v>
      </c>
      <c r="H611" t="str">
        <f t="shared" si="10"/>
        <v>Normal</v>
      </c>
      <c r="I611">
        <v>610</v>
      </c>
      <c r="J611" t="s">
        <v>1207</v>
      </c>
      <c r="K611" s="1" t="s">
        <v>1208</v>
      </c>
    </row>
    <row r="612" spans="1:11">
      <c r="A612" t="s">
        <v>860</v>
      </c>
      <c r="B612">
        <v>480</v>
      </c>
      <c r="C612" t="s">
        <v>128</v>
      </c>
      <c r="D612" t="str">
        <f>"B2391V"</f>
        <v>B2391V</v>
      </c>
      <c r="E612" t="str">
        <f>"B2391V"</f>
        <v>B2391V</v>
      </c>
      <c r="F612" t="str">
        <f>"B2391V"</f>
        <v>B2391V</v>
      </c>
      <c r="G612" t="str">
        <f>"8032532069738"</f>
        <v>8032532069738</v>
      </c>
      <c r="H612" t="str">
        <f t="shared" si="10"/>
        <v>Normal</v>
      </c>
      <c r="I612">
        <v>611</v>
      </c>
      <c r="J612" t="s">
        <v>1209</v>
      </c>
      <c r="K612" s="1" t="s">
        <v>1210</v>
      </c>
    </row>
    <row r="613" spans="1:11">
      <c r="A613" t="s">
        <v>860</v>
      </c>
      <c r="B613">
        <v>480</v>
      </c>
      <c r="C613" t="s">
        <v>128</v>
      </c>
      <c r="D613" t="str">
        <f>"B2401P"</f>
        <v>B2401P</v>
      </c>
      <c r="E613" t="str">
        <f>"B2401P"</f>
        <v>B2401P</v>
      </c>
      <c r="F613" t="str">
        <f>"B2401P"</f>
        <v>B2401P</v>
      </c>
      <c r="G613" t="str">
        <f>"8032532069745"</f>
        <v>8032532069745</v>
      </c>
      <c r="H613" t="str">
        <f t="shared" si="10"/>
        <v>Normal</v>
      </c>
      <c r="I613">
        <v>612</v>
      </c>
      <c r="J613" t="s">
        <v>1211</v>
      </c>
      <c r="K613" s="1" t="s">
        <v>1212</v>
      </c>
    </row>
    <row r="614" spans="1:11">
      <c r="A614" t="s">
        <v>860</v>
      </c>
      <c r="B614">
        <v>480</v>
      </c>
      <c r="C614" t="s">
        <v>128</v>
      </c>
      <c r="D614" t="str">
        <f>"B2411V"</f>
        <v>B2411V</v>
      </c>
      <c r="E614" t="str">
        <f>"B2411V"</f>
        <v>B2411V</v>
      </c>
      <c r="F614" t="str">
        <f>"B2411V"</f>
        <v>B2411V</v>
      </c>
      <c r="G614" t="str">
        <f>"8032532069752"</f>
        <v>8032532069752</v>
      </c>
      <c r="H614" t="str">
        <f t="shared" si="10"/>
        <v>Normal</v>
      </c>
      <c r="I614">
        <v>613</v>
      </c>
      <c r="J614" t="s">
        <v>1213</v>
      </c>
      <c r="K614" s="1" t="s">
        <v>1214</v>
      </c>
    </row>
    <row r="615" spans="1:11">
      <c r="A615" t="s">
        <v>860</v>
      </c>
      <c r="B615">
        <v>480</v>
      </c>
      <c r="C615" t="s">
        <v>128</v>
      </c>
      <c r="D615" t="str">
        <f>"B2431V"</f>
        <v>B2431V</v>
      </c>
      <c r="E615" t="str">
        <f>"B2431V"</f>
        <v>B2431V</v>
      </c>
      <c r="F615" t="str">
        <f>"B2431V"</f>
        <v>B2431V</v>
      </c>
      <c r="G615" t="str">
        <f>"8032532069769"</f>
        <v>8032532069769</v>
      </c>
      <c r="H615" t="str">
        <f t="shared" si="10"/>
        <v>Normal</v>
      </c>
      <c r="I615">
        <v>614</v>
      </c>
      <c r="J615" t="s">
        <v>1215</v>
      </c>
      <c r="K615" s="1" t="s">
        <v>1216</v>
      </c>
    </row>
    <row r="616" spans="1:11">
      <c r="A616" t="s">
        <v>860</v>
      </c>
      <c r="B616">
        <v>480</v>
      </c>
      <c r="C616" t="s">
        <v>128</v>
      </c>
      <c r="D616" t="str">
        <f>"B2431VR"</f>
        <v>B2431VR</v>
      </c>
      <c r="E616" t="str">
        <f>"B2431VR"</f>
        <v>B2431VR</v>
      </c>
      <c r="F616" t="str">
        <f>"B2431VR"</f>
        <v>B2431VR</v>
      </c>
      <c r="G616" t="str">
        <f>"8032928100106"</f>
        <v>8032928100106</v>
      </c>
      <c r="H616" t="str">
        <f t="shared" si="10"/>
        <v>Normal</v>
      </c>
      <c r="I616">
        <v>615</v>
      </c>
      <c r="J616" t="s">
        <v>1217</v>
      </c>
      <c r="K616" s="1" t="s">
        <v>1218</v>
      </c>
    </row>
    <row r="617" spans="1:11">
      <c r="A617" t="s">
        <v>860</v>
      </c>
      <c r="B617">
        <v>480</v>
      </c>
      <c r="C617" t="s">
        <v>128</v>
      </c>
      <c r="D617" t="str">
        <f>"B2441V"</f>
        <v>B2441V</v>
      </c>
      <c r="E617" t="str">
        <f>"B2441V"</f>
        <v>B2441V</v>
      </c>
      <c r="F617" t="str">
        <f>"B2441V"</f>
        <v>B2441V</v>
      </c>
      <c r="G617" t="str">
        <f>"8032532069776"</f>
        <v>8032532069776</v>
      </c>
      <c r="H617" t="str">
        <f t="shared" si="10"/>
        <v>Normal</v>
      </c>
      <c r="I617">
        <v>616</v>
      </c>
      <c r="J617" t="s">
        <v>1219</v>
      </c>
      <c r="K617" s="1" t="s">
        <v>1220</v>
      </c>
    </row>
    <row r="618" spans="1:11">
      <c r="A618" t="s">
        <v>860</v>
      </c>
      <c r="B618">
        <v>480</v>
      </c>
      <c r="C618" t="s">
        <v>128</v>
      </c>
      <c r="D618" t="str">
        <f>"B2441VR"</f>
        <v>B2441VR</v>
      </c>
      <c r="E618" t="str">
        <f>"B2441VR"</f>
        <v>B2441VR</v>
      </c>
      <c r="F618" t="str">
        <f>"B2441VR"</f>
        <v>B2441VR</v>
      </c>
      <c r="G618" t="str">
        <f>"8032928100113"</f>
        <v>8032928100113</v>
      </c>
      <c r="H618" t="str">
        <f t="shared" si="10"/>
        <v>Normal</v>
      </c>
      <c r="I618">
        <v>617</v>
      </c>
      <c r="J618" t="s">
        <v>1221</v>
      </c>
      <c r="K618" s="1" t="s">
        <v>1222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MainTableParts_1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2017-03-06T23:10:55Z</dcterms:created>
  <dcterms:modified xsi:type="dcterms:W3CDTF">2017-03-06T23:10:55Z</dcterms:modified>
</cp:coreProperties>
</file>