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table-use-products-for-selected" sheetId="1" r:id="rId1"/>
  </sheets>
  <calcPr calcId="0"/>
</workbook>
</file>

<file path=xl/calcChain.xml><?xml version="1.0" encoding="utf-8"?>
<calcChain xmlns="http://schemas.openxmlformats.org/spreadsheetml/2006/main">
  <c r="C2" i="1"/>
  <c r="D2"/>
  <c r="M2"/>
  <c r="N2"/>
  <c r="O2"/>
  <c r="Q2"/>
  <c r="C3"/>
  <c r="D3"/>
  <c r="M3"/>
  <c r="N3"/>
  <c r="O3"/>
  <c r="Q3"/>
  <c r="C4"/>
  <c r="D4"/>
  <c r="M4"/>
  <c r="N4"/>
  <c r="O4"/>
  <c r="Q4"/>
  <c r="C5"/>
  <c r="D5"/>
  <c r="M5"/>
  <c r="N5"/>
  <c r="O5"/>
  <c r="Q5"/>
  <c r="C6"/>
  <c r="D6"/>
  <c r="M6"/>
  <c r="N6"/>
  <c r="O6"/>
  <c r="Q6"/>
  <c r="C7"/>
  <c r="D7"/>
  <c r="M7"/>
  <c r="N7"/>
  <c r="O7"/>
  <c r="Q7"/>
  <c r="C8"/>
  <c r="D8"/>
  <c r="M8"/>
  <c r="N8"/>
  <c r="O8"/>
  <c r="Q8"/>
  <c r="C9"/>
  <c r="D9"/>
  <c r="M9"/>
  <c r="N9"/>
  <c r="O9"/>
  <c r="Q9"/>
  <c r="C10"/>
  <c r="D10"/>
  <c r="M10"/>
  <c r="N10"/>
  <c r="O10"/>
  <c r="Q10"/>
  <c r="C11"/>
  <c r="D11"/>
  <c r="M11"/>
  <c r="N11"/>
  <c r="O11"/>
  <c r="Q11"/>
  <c r="C12"/>
  <c r="D12"/>
  <c r="M12"/>
  <c r="N12"/>
  <c r="O12"/>
  <c r="Q12"/>
  <c r="C13"/>
  <c r="D13"/>
  <c r="M13"/>
  <c r="N13"/>
  <c r="O13"/>
  <c r="Q13"/>
  <c r="C14"/>
  <c r="D14"/>
  <c r="M14"/>
  <c r="N14"/>
  <c r="O14"/>
  <c r="Q14"/>
  <c r="C15"/>
  <c r="D15"/>
  <c r="M15"/>
  <c r="N15"/>
  <c r="O15"/>
  <c r="Q15"/>
  <c r="C16"/>
  <c r="D16"/>
  <c r="M16"/>
  <c r="N16"/>
  <c r="O16"/>
  <c r="Q16"/>
  <c r="C17"/>
  <c r="D17"/>
  <c r="M17"/>
  <c r="N17"/>
  <c r="O17"/>
  <c r="Q17"/>
  <c r="C18"/>
  <c r="D18"/>
  <c r="M18"/>
  <c r="N18"/>
  <c r="O18"/>
  <c r="Q18"/>
  <c r="C19"/>
  <c r="D19"/>
  <c r="M19"/>
  <c r="N19"/>
  <c r="O19"/>
  <c r="Q19"/>
  <c r="C20"/>
  <c r="D20"/>
  <c r="M20"/>
  <c r="N20"/>
  <c r="O20"/>
  <c r="Q20"/>
  <c r="C21"/>
  <c r="D21"/>
  <c r="M21"/>
  <c r="N21"/>
  <c r="O21"/>
  <c r="Q21"/>
  <c r="C22"/>
  <c r="D22"/>
  <c r="M22"/>
  <c r="N22"/>
  <c r="O22"/>
  <c r="Q22"/>
  <c r="C23"/>
  <c r="D23"/>
  <c r="M23"/>
  <c r="N23"/>
  <c r="O23"/>
  <c r="Q23"/>
  <c r="C24"/>
  <c r="D24"/>
  <c r="M24"/>
  <c r="N24"/>
  <c r="O24"/>
  <c r="Q24"/>
  <c r="C25"/>
  <c r="D25"/>
  <c r="M25"/>
  <c r="N25"/>
  <c r="O25"/>
  <c r="Q25"/>
  <c r="C26"/>
  <c r="D26"/>
  <c r="M26"/>
  <c r="N26"/>
  <c r="O26"/>
  <c r="Q26"/>
  <c r="C27"/>
  <c r="D27"/>
  <c r="M27"/>
  <c r="N27"/>
  <c r="O27"/>
  <c r="Q27"/>
  <c r="C28"/>
  <c r="D28"/>
  <c r="M28"/>
  <c r="N28"/>
  <c r="O28"/>
  <c r="Q28"/>
  <c r="C29"/>
  <c r="D29"/>
  <c r="M29"/>
  <c r="N29"/>
  <c r="O29"/>
  <c r="Q29"/>
  <c r="C30"/>
  <c r="D30"/>
  <c r="M30"/>
  <c r="N30"/>
  <c r="O30"/>
  <c r="Q30"/>
  <c r="C31"/>
  <c r="D31"/>
  <c r="M31"/>
  <c r="N31"/>
  <c r="O31"/>
  <c r="Q31"/>
  <c r="C32"/>
  <c r="D32"/>
  <c r="M32"/>
  <c r="N32"/>
  <c r="O32"/>
  <c r="Q32"/>
  <c r="C33"/>
  <c r="D33"/>
  <c r="M33"/>
  <c r="N33"/>
  <c r="O33"/>
  <c r="Q33"/>
  <c r="C34"/>
  <c r="D34"/>
  <c r="M34"/>
  <c r="N34"/>
  <c r="O34"/>
  <c r="Q34"/>
  <c r="C35"/>
  <c r="D35"/>
  <c r="M35"/>
  <c r="N35"/>
  <c r="O35"/>
  <c r="Q35"/>
  <c r="C36"/>
  <c r="D36"/>
  <c r="M36"/>
  <c r="N36"/>
  <c r="O36"/>
  <c r="Q36"/>
  <c r="C37"/>
  <c r="D37"/>
  <c r="M37"/>
  <c r="N37"/>
  <c r="O37"/>
  <c r="Q37"/>
  <c r="C38"/>
  <c r="D38"/>
  <c r="M38"/>
  <c r="N38"/>
  <c r="O38"/>
  <c r="Q38"/>
  <c r="C39"/>
  <c r="D39"/>
  <c r="M39"/>
  <c r="N39"/>
  <c r="O39"/>
  <c r="Q39"/>
  <c r="C40"/>
  <c r="D40"/>
  <c r="M40"/>
  <c r="N40"/>
  <c r="O40"/>
  <c r="Q40"/>
  <c r="C41"/>
  <c r="D41"/>
  <c r="M41"/>
  <c r="N41"/>
  <c r="O41"/>
  <c r="Q41"/>
  <c r="C42"/>
  <c r="D42"/>
  <c r="M42"/>
  <c r="N42"/>
  <c r="O42"/>
  <c r="Q42"/>
  <c r="C43"/>
  <c r="D43"/>
  <c r="M43"/>
  <c r="N43"/>
  <c r="O43"/>
  <c r="Q43"/>
  <c r="C44"/>
  <c r="D44"/>
  <c r="M44"/>
  <c r="N44"/>
  <c r="O44"/>
  <c r="Q44"/>
  <c r="C45"/>
  <c r="D45"/>
  <c r="M45"/>
  <c r="N45"/>
  <c r="O45"/>
  <c r="Q45"/>
  <c r="C46"/>
  <c r="D46"/>
  <c r="M46"/>
  <c r="N46"/>
  <c r="O46"/>
  <c r="Q46"/>
  <c r="C47"/>
  <c r="D47"/>
  <c r="M47"/>
  <c r="N47"/>
  <c r="O47"/>
  <c r="Q47"/>
  <c r="C48"/>
  <c r="D48"/>
  <c r="M48"/>
  <c r="N48"/>
  <c r="O48"/>
  <c r="Q48"/>
  <c r="C49"/>
  <c r="D49"/>
  <c r="M49"/>
  <c r="N49"/>
  <c r="O49"/>
  <c r="Q49"/>
  <c r="C50"/>
  <c r="D50"/>
  <c r="M50"/>
  <c r="N50"/>
  <c r="O50"/>
  <c r="Q50"/>
  <c r="C51"/>
  <c r="D51"/>
  <c r="M51"/>
  <c r="N51"/>
  <c r="O51"/>
  <c r="Q51"/>
  <c r="C52"/>
  <c r="D52"/>
  <c r="M52"/>
  <c r="N52"/>
  <c r="O52"/>
  <c r="Q52"/>
  <c r="C53"/>
  <c r="D53"/>
  <c r="M53"/>
  <c r="N53"/>
  <c r="O53"/>
  <c r="Q53"/>
  <c r="C54"/>
  <c r="D54"/>
  <c r="M54"/>
  <c r="N54"/>
  <c r="O54"/>
  <c r="Q54"/>
  <c r="C55"/>
  <c r="D55"/>
  <c r="M55"/>
  <c r="N55"/>
  <c r="O55"/>
  <c r="Q55"/>
  <c r="C56"/>
  <c r="D56"/>
  <c r="M56"/>
  <c r="N56"/>
  <c r="O56"/>
  <c r="Q56"/>
  <c r="C57"/>
  <c r="D57"/>
  <c r="M57"/>
  <c r="N57"/>
  <c r="O57"/>
  <c r="Q57"/>
  <c r="C58"/>
  <c r="D58"/>
  <c r="M58"/>
  <c r="N58"/>
  <c r="O58"/>
  <c r="Q58"/>
  <c r="C59"/>
  <c r="D59"/>
  <c r="M59"/>
  <c r="N59"/>
  <c r="O59"/>
  <c r="Q59"/>
  <c r="C60"/>
  <c r="D60"/>
  <c r="M60"/>
  <c r="N60"/>
  <c r="O60"/>
  <c r="Q60"/>
  <c r="C61"/>
  <c r="D61"/>
  <c r="M61"/>
  <c r="N61"/>
  <c r="O61"/>
  <c r="Q61"/>
  <c r="C62"/>
  <c r="D62"/>
  <c r="M62"/>
  <c r="N62"/>
  <c r="O62"/>
  <c r="Q62"/>
  <c r="C63"/>
  <c r="D63"/>
  <c r="M63"/>
  <c r="N63"/>
  <c r="O63"/>
  <c r="Q63"/>
  <c r="C64"/>
  <c r="D64"/>
  <c r="M64"/>
  <c r="N64"/>
  <c r="O64"/>
  <c r="Q64"/>
  <c r="C65"/>
  <c r="D65"/>
  <c r="M65"/>
  <c r="N65"/>
  <c r="O65"/>
  <c r="Q65"/>
  <c r="C66"/>
  <c r="D66"/>
  <c r="M66"/>
  <c r="N66"/>
  <c r="O66"/>
  <c r="Q66"/>
  <c r="C67"/>
  <c r="D67"/>
  <c r="M67"/>
  <c r="N67"/>
  <c r="O67"/>
  <c r="Q67"/>
  <c r="C68"/>
  <c r="D68"/>
  <c r="M68"/>
  <c r="N68"/>
  <c r="O68"/>
  <c r="Q68"/>
  <c r="C69"/>
  <c r="D69"/>
  <c r="M69"/>
  <c r="N69"/>
  <c r="O69"/>
  <c r="Q69"/>
  <c r="C70"/>
  <c r="D70"/>
  <c r="M70"/>
  <c r="N70"/>
  <c r="O70"/>
  <c r="Q70"/>
  <c r="C71"/>
  <c r="D71"/>
  <c r="M71"/>
  <c r="N71"/>
  <c r="O71"/>
  <c r="Q71"/>
  <c r="C72"/>
  <c r="D72"/>
  <c r="M72"/>
  <c r="N72"/>
  <c r="O72"/>
  <c r="Q72"/>
  <c r="C73"/>
  <c r="D73"/>
  <c r="M73"/>
  <c r="N73"/>
  <c r="O73"/>
  <c r="Q73"/>
  <c r="C74"/>
  <c r="D74"/>
  <c r="M74"/>
  <c r="N74"/>
  <c r="O74"/>
  <c r="Q74"/>
  <c r="C75"/>
  <c r="D75"/>
  <c r="M75"/>
  <c r="N75"/>
  <c r="O75"/>
  <c r="Q75"/>
  <c r="C76"/>
  <c r="D76"/>
  <c r="M76"/>
  <c r="N76"/>
  <c r="O76"/>
  <c r="Q76"/>
  <c r="C77"/>
  <c r="D77"/>
  <c r="M77"/>
  <c r="N77"/>
  <c r="O77"/>
  <c r="Q77"/>
  <c r="C78"/>
  <c r="D78"/>
  <c r="M78"/>
  <c r="N78"/>
  <c r="O78"/>
  <c r="Q78"/>
  <c r="C79"/>
  <c r="D79"/>
  <c r="M79"/>
  <c r="N79"/>
  <c r="O79"/>
  <c r="Q79"/>
  <c r="C80"/>
  <c r="D80"/>
  <c r="M80"/>
  <c r="N80"/>
  <c r="O80"/>
  <c r="Q80"/>
  <c r="C81"/>
  <c r="D81"/>
  <c r="M81"/>
  <c r="N81"/>
  <c r="O81"/>
  <c r="Q81"/>
  <c r="C82"/>
  <c r="D82"/>
  <c r="M82"/>
  <c r="N82"/>
  <c r="O82"/>
  <c r="Q82"/>
  <c r="C83"/>
  <c r="D83"/>
  <c r="M83"/>
  <c r="N83"/>
  <c r="O83"/>
  <c r="Q83"/>
  <c r="C84"/>
  <c r="D84"/>
  <c r="M84"/>
  <c r="N84"/>
  <c r="O84"/>
  <c r="Q84"/>
  <c r="C85"/>
  <c r="D85"/>
  <c r="M85"/>
  <c r="N85"/>
  <c r="O85"/>
  <c r="Q85"/>
  <c r="C86"/>
  <c r="D86"/>
  <c r="M86"/>
  <c r="N86"/>
  <c r="O86"/>
  <c r="Q86"/>
  <c r="C87"/>
  <c r="D87"/>
  <c r="M87"/>
  <c r="N87"/>
  <c r="O87"/>
  <c r="Q87"/>
  <c r="C88"/>
  <c r="D88"/>
  <c r="M88"/>
  <c r="N88"/>
  <c r="O88"/>
  <c r="Q88"/>
  <c r="C89"/>
  <c r="D89"/>
  <c r="M89"/>
  <c r="N89"/>
  <c r="O89"/>
  <c r="Q89"/>
  <c r="C90"/>
  <c r="D90"/>
  <c r="M90"/>
  <c r="N90"/>
  <c r="O90"/>
  <c r="Q90"/>
  <c r="C91"/>
  <c r="D91"/>
  <c r="M91"/>
  <c r="N91"/>
  <c r="O91"/>
  <c r="Q91"/>
  <c r="C92"/>
  <c r="D92"/>
  <c r="M92"/>
  <c r="N92"/>
  <c r="O92"/>
  <c r="Q92"/>
  <c r="C93"/>
  <c r="D93"/>
  <c r="M93"/>
  <c r="N93"/>
  <c r="O93"/>
  <c r="Q93"/>
  <c r="C94"/>
  <c r="D94"/>
  <c r="M94"/>
  <c r="N94"/>
  <c r="O94"/>
  <c r="Q94"/>
  <c r="C95"/>
  <c r="D95"/>
  <c r="M95"/>
  <c r="N95"/>
  <c r="O95"/>
  <c r="Q95"/>
  <c r="C96"/>
  <c r="D96"/>
  <c r="M96"/>
  <c r="N96"/>
  <c r="O96"/>
  <c r="Q96"/>
  <c r="C97"/>
  <c r="D97"/>
  <c r="M97"/>
  <c r="N97"/>
  <c r="O97"/>
  <c r="Q97"/>
  <c r="C98"/>
  <c r="D98"/>
  <c r="M98"/>
  <c r="N98"/>
  <c r="O98"/>
  <c r="Q98"/>
  <c r="C99"/>
  <c r="D99"/>
  <c r="M99"/>
  <c r="N99"/>
  <c r="O99"/>
  <c r="Q99"/>
  <c r="C100"/>
  <c r="D100"/>
  <c r="M100"/>
  <c r="N100"/>
  <c r="O100"/>
  <c r="Q100"/>
  <c r="C101"/>
  <c r="D101"/>
  <c r="M101"/>
  <c r="N101"/>
  <c r="O101"/>
  <c r="Q101"/>
  <c r="C102"/>
  <c r="D102"/>
  <c r="M102"/>
  <c r="N102"/>
  <c r="O102"/>
  <c r="Q102"/>
  <c r="C103"/>
  <c r="D103"/>
  <c r="M103"/>
  <c r="N103"/>
  <c r="O103"/>
  <c r="Q103"/>
  <c r="C104"/>
  <c r="D104"/>
  <c r="M104"/>
  <c r="N104"/>
  <c r="O104"/>
  <c r="Q104"/>
  <c r="C105"/>
  <c r="D105"/>
  <c r="M105"/>
  <c r="N105"/>
  <c r="O105"/>
  <c r="Q105"/>
  <c r="C106"/>
  <c r="D106"/>
  <c r="M106"/>
  <c r="N106"/>
  <c r="O106"/>
  <c r="Q106"/>
  <c r="C107"/>
  <c r="D107"/>
  <c r="M107"/>
  <c r="N107"/>
  <c r="O107"/>
  <c r="Q107"/>
  <c r="C108"/>
  <c r="D108"/>
  <c r="M108"/>
  <c r="N108"/>
  <c r="O108"/>
  <c r="Q108"/>
  <c r="C109"/>
  <c r="D109"/>
  <c r="M109"/>
  <c r="N109"/>
  <c r="O109"/>
  <c r="Q109"/>
  <c r="C110"/>
  <c r="D110"/>
  <c r="M110"/>
  <c r="N110"/>
  <c r="O110"/>
  <c r="Q110"/>
  <c r="C111"/>
  <c r="D111"/>
  <c r="M111"/>
  <c r="N111"/>
  <c r="O111"/>
  <c r="Q111"/>
  <c r="C112"/>
  <c r="D112"/>
  <c r="M112"/>
  <c r="N112"/>
  <c r="O112"/>
  <c r="Q112"/>
  <c r="C113"/>
  <c r="D113"/>
  <c r="M113"/>
  <c r="N113"/>
  <c r="O113"/>
  <c r="Q113"/>
  <c r="C114"/>
  <c r="D114"/>
  <c r="M114"/>
  <c r="N114"/>
  <c r="O114"/>
  <c r="Q114"/>
  <c r="C115"/>
  <c r="D115"/>
  <c r="M115"/>
  <c r="N115"/>
  <c r="O115"/>
  <c r="Q115"/>
  <c r="C116"/>
  <c r="D116"/>
  <c r="M116"/>
  <c r="N116"/>
  <c r="O116"/>
  <c r="Q116"/>
  <c r="C117"/>
  <c r="D117"/>
  <c r="M117"/>
  <c r="N117"/>
  <c r="O117"/>
  <c r="Q117"/>
  <c r="C118"/>
  <c r="D118"/>
  <c r="M118"/>
  <c r="N118"/>
  <c r="O118"/>
  <c r="Q118"/>
  <c r="C119"/>
  <c r="D119"/>
  <c r="M119"/>
  <c r="N119"/>
  <c r="O119"/>
  <c r="Q119"/>
  <c r="C120"/>
  <c r="D120"/>
  <c r="M120"/>
  <c r="N120"/>
  <c r="O120"/>
  <c r="Q120"/>
  <c r="C121"/>
  <c r="D121"/>
  <c r="M121"/>
  <c r="N121"/>
  <c r="O121"/>
  <c r="Q121"/>
  <c r="C122"/>
  <c r="D122"/>
  <c r="M122"/>
  <c r="N122"/>
  <c r="O122"/>
  <c r="Q122"/>
  <c r="C123"/>
  <c r="D123"/>
  <c r="M123"/>
  <c r="N123"/>
  <c r="O123"/>
  <c r="Q123"/>
  <c r="C124"/>
  <c r="D124"/>
  <c r="M124"/>
  <c r="N124"/>
  <c r="O124"/>
  <c r="Q124"/>
  <c r="C125"/>
  <c r="D125"/>
  <c r="M125"/>
  <c r="N125"/>
  <c r="O125"/>
  <c r="Q125"/>
  <c r="C126"/>
  <c r="D126"/>
  <c r="M126"/>
  <c r="N126"/>
  <c r="O126"/>
  <c r="Q126"/>
  <c r="C127"/>
  <c r="D127"/>
  <c r="M127"/>
  <c r="N127"/>
  <c r="O127"/>
  <c r="Q127"/>
  <c r="C128"/>
  <c r="D128"/>
  <c r="M128"/>
  <c r="N128"/>
  <c r="O128"/>
  <c r="Q128"/>
  <c r="C129"/>
  <c r="D129"/>
  <c r="M129"/>
  <c r="N129"/>
  <c r="O129"/>
  <c r="Q129"/>
  <c r="C130"/>
  <c r="D130"/>
  <c r="M130"/>
  <c r="N130"/>
  <c r="O130"/>
  <c r="Q130"/>
  <c r="C131"/>
  <c r="D131"/>
  <c r="M131"/>
  <c r="N131"/>
  <c r="O131"/>
  <c r="Q131"/>
  <c r="C132"/>
  <c r="D132"/>
  <c r="M132"/>
  <c r="N132"/>
  <c r="O132"/>
  <c r="Q132"/>
  <c r="C133"/>
  <c r="D133"/>
  <c r="M133"/>
  <c r="N133"/>
  <c r="O133"/>
  <c r="Q133"/>
  <c r="C134"/>
  <c r="D134"/>
  <c r="M134"/>
  <c r="N134"/>
  <c r="O134"/>
  <c r="Q134"/>
  <c r="C135"/>
  <c r="D135"/>
  <c r="M135"/>
  <c r="N135"/>
  <c r="O135"/>
  <c r="Q135"/>
  <c r="C136"/>
  <c r="D136"/>
  <c r="M136"/>
  <c r="N136"/>
  <c r="O136"/>
  <c r="Q136"/>
  <c r="C137"/>
  <c r="D137"/>
  <c r="M137"/>
  <c r="N137"/>
  <c r="O137"/>
  <c r="Q137"/>
  <c r="C138"/>
  <c r="D138"/>
  <c r="M138"/>
  <c r="N138"/>
  <c r="O138"/>
  <c r="Q138"/>
  <c r="C139"/>
  <c r="D139"/>
  <c r="M139"/>
  <c r="N139"/>
  <c r="O139"/>
  <c r="Q139"/>
  <c r="C140"/>
  <c r="D140"/>
  <c r="M140"/>
  <c r="N140"/>
  <c r="O140"/>
  <c r="Q140"/>
  <c r="C141"/>
  <c r="D141"/>
  <c r="M141"/>
  <c r="N141"/>
  <c r="O141"/>
  <c r="Q141"/>
  <c r="C142"/>
  <c r="D142"/>
  <c r="M142"/>
  <c r="N142"/>
  <c r="O142"/>
  <c r="Q142"/>
  <c r="C143"/>
  <c r="D143"/>
  <c r="M143"/>
  <c r="N143"/>
  <c r="O143"/>
  <c r="Q143"/>
  <c r="C144"/>
  <c r="D144"/>
  <c r="M144"/>
  <c r="N144"/>
  <c r="O144"/>
  <c r="Q144"/>
  <c r="C145"/>
  <c r="D145"/>
  <c r="M145"/>
  <c r="N145"/>
  <c r="O145"/>
  <c r="Q145"/>
  <c r="C146"/>
  <c r="D146"/>
  <c r="M146"/>
  <c r="N146"/>
  <c r="O146"/>
  <c r="Q146"/>
  <c r="C147"/>
  <c r="D147"/>
  <c r="M147"/>
  <c r="N147"/>
  <c r="O147"/>
  <c r="Q147"/>
  <c r="C148"/>
  <c r="D148"/>
  <c r="M148"/>
  <c r="N148"/>
  <c r="O148"/>
  <c r="Q148"/>
  <c r="C149"/>
  <c r="D149"/>
  <c r="M149"/>
  <c r="N149"/>
  <c r="O149"/>
  <c r="Q149"/>
  <c r="C150"/>
  <c r="D150"/>
  <c r="M150"/>
  <c r="N150"/>
  <c r="O150"/>
  <c r="Q150"/>
  <c r="C151"/>
  <c r="D151"/>
  <c r="M151"/>
  <c r="N151"/>
  <c r="O151"/>
  <c r="Q151"/>
  <c r="C152"/>
  <c r="D152"/>
  <c r="M152"/>
  <c r="N152"/>
  <c r="O152"/>
  <c r="Q152"/>
  <c r="C153"/>
  <c r="D153"/>
  <c r="M153"/>
  <c r="N153"/>
  <c r="O153"/>
  <c r="Q153"/>
  <c r="C154"/>
  <c r="D154"/>
  <c r="M154"/>
  <c r="N154"/>
  <c r="O154"/>
  <c r="Q154"/>
  <c r="C155"/>
  <c r="D155"/>
  <c r="M155"/>
  <c r="N155"/>
  <c r="O155"/>
  <c r="Q155"/>
  <c r="C156"/>
  <c r="D156"/>
  <c r="M156"/>
  <c r="N156"/>
  <c r="O156"/>
  <c r="Q156"/>
  <c r="C157"/>
  <c r="D157"/>
  <c r="M157"/>
  <c r="N157"/>
  <c r="O157"/>
  <c r="Q157"/>
  <c r="C158"/>
  <c r="D158"/>
  <c r="M158"/>
  <c r="N158"/>
  <c r="O158"/>
  <c r="Q158"/>
  <c r="C159"/>
  <c r="D159"/>
  <c r="M159"/>
  <c r="N159"/>
  <c r="O159"/>
  <c r="Q159"/>
  <c r="C160"/>
  <c r="D160"/>
  <c r="M160"/>
  <c r="N160"/>
  <c r="O160"/>
  <c r="Q160"/>
  <c r="C161"/>
  <c r="D161"/>
  <c r="M161"/>
  <c r="N161"/>
  <c r="O161"/>
  <c r="Q161"/>
  <c r="C162"/>
  <c r="D162"/>
  <c r="M162"/>
  <c r="N162"/>
  <c r="O162"/>
  <c r="Q162"/>
  <c r="C163"/>
  <c r="D163"/>
  <c r="M163"/>
  <c r="N163"/>
  <c r="O163"/>
  <c r="Q163"/>
  <c r="C164"/>
  <c r="D164"/>
  <c r="M164"/>
  <c r="N164"/>
  <c r="O164"/>
  <c r="Q164"/>
  <c r="C165"/>
  <c r="D165"/>
  <c r="M165"/>
  <c r="N165"/>
  <c r="O165"/>
  <c r="Q165"/>
  <c r="C166"/>
  <c r="D166"/>
  <c r="M166"/>
  <c r="N166"/>
  <c r="O166"/>
  <c r="Q166"/>
  <c r="C167"/>
  <c r="D167"/>
  <c r="M167"/>
  <c r="N167"/>
  <c r="O167"/>
  <c r="Q167"/>
  <c r="C168"/>
  <c r="D168"/>
  <c r="M168"/>
  <c r="N168"/>
  <c r="O168"/>
  <c r="Q168"/>
  <c r="C169"/>
  <c r="D169"/>
  <c r="M169"/>
  <c r="N169"/>
  <c r="O169"/>
  <c r="Q169"/>
  <c r="C170"/>
  <c r="D170"/>
  <c r="M170"/>
  <c r="N170"/>
  <c r="O170"/>
  <c r="Q170"/>
  <c r="C171"/>
  <c r="D171"/>
  <c r="M171"/>
  <c r="N171"/>
  <c r="O171"/>
  <c r="Q171"/>
  <c r="C172"/>
  <c r="D172"/>
  <c r="M172"/>
  <c r="N172"/>
  <c r="O172"/>
  <c r="Q172"/>
  <c r="C173"/>
  <c r="D173"/>
  <c r="M173"/>
  <c r="N173"/>
  <c r="O173"/>
  <c r="Q173"/>
  <c r="C174"/>
  <c r="D174"/>
  <c r="M174"/>
  <c r="N174"/>
  <c r="O174"/>
  <c r="Q174"/>
  <c r="C175"/>
  <c r="D175"/>
  <c r="M175"/>
  <c r="N175"/>
  <c r="O175"/>
  <c r="Q175"/>
  <c r="C176"/>
  <c r="D176"/>
  <c r="M176"/>
  <c r="N176"/>
  <c r="O176"/>
  <c r="Q176"/>
  <c r="C177"/>
  <c r="D177"/>
  <c r="M177"/>
  <c r="N177"/>
  <c r="O177"/>
  <c r="Q177"/>
  <c r="C178"/>
  <c r="D178"/>
  <c r="M178"/>
  <c r="N178"/>
  <c r="O178"/>
  <c r="Q178"/>
  <c r="C179"/>
  <c r="D179"/>
  <c r="M179"/>
  <c r="N179"/>
  <c r="O179"/>
  <c r="Q179"/>
  <c r="C180"/>
  <c r="D180"/>
  <c r="M180"/>
  <c r="N180"/>
  <c r="O180"/>
  <c r="Q180"/>
  <c r="C181"/>
  <c r="D181"/>
  <c r="M181"/>
  <c r="N181"/>
  <c r="O181"/>
  <c r="Q181"/>
  <c r="C182"/>
  <c r="D182"/>
  <c r="M182"/>
  <c r="N182"/>
  <c r="O182"/>
  <c r="Q182"/>
  <c r="C183"/>
  <c r="D183"/>
  <c r="M183"/>
  <c r="N183"/>
  <c r="O183"/>
  <c r="Q183"/>
  <c r="C184"/>
  <c r="D184"/>
  <c r="M184"/>
  <c r="N184"/>
  <c r="O184"/>
  <c r="Q184"/>
  <c r="C185"/>
  <c r="D185"/>
  <c r="M185"/>
  <c r="N185"/>
  <c r="O185"/>
  <c r="Q185"/>
  <c r="C186"/>
  <c r="D186"/>
  <c r="M186"/>
  <c r="N186"/>
  <c r="O186"/>
  <c r="Q186"/>
  <c r="C187"/>
  <c r="D187"/>
  <c r="M187"/>
  <c r="N187"/>
  <c r="O187"/>
  <c r="Q187"/>
  <c r="C188"/>
  <c r="D188"/>
  <c r="M188"/>
  <c r="N188"/>
  <c r="O188"/>
  <c r="Q188"/>
  <c r="C189"/>
  <c r="D189"/>
  <c r="M189"/>
  <c r="N189"/>
  <c r="O189"/>
  <c r="Q189"/>
  <c r="C190"/>
  <c r="D190"/>
  <c r="M190"/>
  <c r="N190"/>
  <c r="O190"/>
  <c r="Q190"/>
  <c r="C191"/>
  <c r="D191"/>
  <c r="M191"/>
  <c r="N191"/>
  <c r="O191"/>
  <c r="Q191"/>
  <c r="C192"/>
  <c r="D192"/>
  <c r="M192"/>
  <c r="N192"/>
  <c r="O192"/>
  <c r="Q192"/>
  <c r="C193"/>
  <c r="D193"/>
  <c r="M193"/>
  <c r="N193"/>
  <c r="O193"/>
  <c r="Q193"/>
  <c r="C194"/>
  <c r="D194"/>
  <c r="M194"/>
  <c r="N194"/>
  <c r="O194"/>
  <c r="Q194"/>
  <c r="C195"/>
  <c r="D195"/>
  <c r="M195"/>
  <c r="N195"/>
  <c r="O195"/>
  <c r="Q195"/>
  <c r="C196"/>
  <c r="D196"/>
  <c r="M196"/>
  <c r="N196"/>
  <c r="O196"/>
  <c r="Q196"/>
  <c r="C197"/>
  <c r="D197"/>
  <c r="M197"/>
  <c r="N197"/>
  <c r="O197"/>
  <c r="Q197"/>
  <c r="C198"/>
  <c r="D198"/>
  <c r="M198"/>
  <c r="N198"/>
  <c r="O198"/>
  <c r="Q198"/>
  <c r="C199"/>
  <c r="D199"/>
  <c r="M199"/>
  <c r="N199"/>
  <c r="O199"/>
  <c r="Q199"/>
  <c r="C200"/>
  <c r="D200"/>
  <c r="M200"/>
  <c r="N200"/>
  <c r="O200"/>
  <c r="Q200"/>
  <c r="C201"/>
  <c r="D201"/>
  <c r="M201"/>
  <c r="N201"/>
  <c r="O201"/>
  <c r="Q201"/>
  <c r="C202"/>
  <c r="D202"/>
  <c r="M202"/>
  <c r="N202"/>
  <c r="O202"/>
  <c r="Q202"/>
  <c r="C203"/>
  <c r="D203"/>
  <c r="M203"/>
  <c r="N203"/>
  <c r="O203"/>
  <c r="Q203"/>
  <c r="C204"/>
  <c r="D204"/>
  <c r="M204"/>
  <c r="N204"/>
  <c r="O204"/>
  <c r="Q204"/>
  <c r="C205"/>
  <c r="D205"/>
  <c r="M205"/>
  <c r="N205"/>
  <c r="O205"/>
  <c r="Q205"/>
  <c r="C206"/>
  <c r="D206"/>
  <c r="M206"/>
  <c r="N206"/>
  <c r="O206"/>
  <c r="Q206"/>
  <c r="C207"/>
  <c r="D207"/>
  <c r="M207"/>
  <c r="N207"/>
  <c r="O207"/>
  <c r="Q207"/>
  <c r="C208"/>
  <c r="D208"/>
  <c r="M208"/>
  <c r="N208"/>
  <c r="O208"/>
  <c r="Q208"/>
  <c r="C209"/>
  <c r="D209"/>
  <c r="M209"/>
  <c r="N209"/>
  <c r="O209"/>
  <c r="Q209"/>
  <c r="C210"/>
  <c r="D210"/>
  <c r="M210"/>
  <c r="N210"/>
  <c r="O210"/>
  <c r="Q210"/>
  <c r="C211"/>
  <c r="D211"/>
  <c r="M211"/>
  <c r="N211"/>
  <c r="O211"/>
  <c r="Q211"/>
  <c r="C212"/>
  <c r="D212"/>
  <c r="M212"/>
  <c r="N212"/>
  <c r="O212"/>
  <c r="Q212"/>
  <c r="C213"/>
  <c r="D213"/>
  <c r="M213"/>
  <c r="N213"/>
  <c r="O213"/>
  <c r="Q213"/>
  <c r="C214"/>
  <c r="D214"/>
  <c r="M214"/>
  <c r="N214"/>
  <c r="O214"/>
  <c r="Q214"/>
  <c r="C215"/>
  <c r="D215"/>
  <c r="M215"/>
  <c r="N215"/>
  <c r="O215"/>
  <c r="Q215"/>
  <c r="C216"/>
  <c r="D216"/>
  <c r="M216"/>
  <c r="N216"/>
  <c r="O216"/>
  <c r="Q216"/>
  <c r="C217"/>
  <c r="D217"/>
  <c r="M217"/>
  <c r="N217"/>
  <c r="O217"/>
  <c r="Q217"/>
  <c r="C218"/>
  <c r="D218"/>
  <c r="M218"/>
  <c r="N218"/>
  <c r="O218"/>
  <c r="Q218"/>
  <c r="C219"/>
  <c r="D219"/>
  <c r="M219"/>
  <c r="N219"/>
  <c r="O219"/>
  <c r="Q219"/>
  <c r="C220"/>
  <c r="D220"/>
  <c r="M220"/>
  <c r="N220"/>
  <c r="O220"/>
  <c r="Q220"/>
  <c r="C221"/>
  <c r="D221"/>
  <c r="M221"/>
  <c r="N221"/>
  <c r="O221"/>
  <c r="Q221"/>
  <c r="C222"/>
  <c r="D222"/>
  <c r="M222"/>
  <c r="N222"/>
  <c r="O222"/>
  <c r="Q222"/>
  <c r="C223"/>
  <c r="D223"/>
  <c r="M223"/>
  <c r="N223"/>
  <c r="O223"/>
  <c r="Q223"/>
  <c r="C224"/>
  <c r="D224"/>
  <c r="M224"/>
  <c r="N224"/>
  <c r="O224"/>
  <c r="Q224"/>
  <c r="C225"/>
  <c r="D225"/>
  <c r="M225"/>
  <c r="N225"/>
  <c r="O225"/>
  <c r="Q225"/>
  <c r="C226"/>
  <c r="D226"/>
  <c r="M226"/>
  <c r="N226"/>
  <c r="O226"/>
  <c r="Q226"/>
  <c r="C227"/>
  <c r="D227"/>
  <c r="M227"/>
  <c r="N227"/>
  <c r="O227"/>
  <c r="Q227"/>
  <c r="C228"/>
  <c r="D228"/>
  <c r="M228"/>
  <c r="N228"/>
  <c r="O228"/>
  <c r="Q228"/>
  <c r="C229"/>
  <c r="D229"/>
  <c r="M229"/>
  <c r="N229"/>
  <c r="O229"/>
  <c r="Q229"/>
  <c r="C230"/>
  <c r="D230"/>
  <c r="M230"/>
  <c r="N230"/>
  <c r="O230"/>
  <c r="Q230"/>
  <c r="C231"/>
  <c r="D231"/>
  <c r="M231"/>
  <c r="N231"/>
  <c r="O231"/>
  <c r="Q231"/>
  <c r="C232"/>
  <c r="D232"/>
  <c r="M232"/>
  <c r="N232"/>
  <c r="O232"/>
  <c r="Q232"/>
  <c r="C233"/>
  <c r="D233"/>
  <c r="M233"/>
  <c r="N233"/>
  <c r="O233"/>
  <c r="Q233"/>
  <c r="C234"/>
  <c r="D234"/>
  <c r="M234"/>
  <c r="N234"/>
  <c r="O234"/>
  <c r="Q234"/>
  <c r="C235"/>
  <c r="D235"/>
  <c r="M235"/>
  <c r="N235"/>
  <c r="O235"/>
  <c r="Q235"/>
  <c r="C236"/>
  <c r="D236"/>
  <c r="M236"/>
  <c r="N236"/>
  <c r="O236"/>
  <c r="Q236"/>
  <c r="C237"/>
  <c r="D237"/>
  <c r="M237"/>
  <c r="N237"/>
  <c r="O237"/>
  <c r="Q237"/>
  <c r="C238"/>
  <c r="D238"/>
  <c r="M238"/>
  <c r="N238"/>
  <c r="O238"/>
  <c r="Q238"/>
  <c r="C239"/>
  <c r="D239"/>
  <c r="M239"/>
  <c r="N239"/>
  <c r="O239"/>
  <c r="Q239"/>
  <c r="C240"/>
  <c r="D240"/>
  <c r="M240"/>
  <c r="N240"/>
  <c r="O240"/>
  <c r="Q240"/>
  <c r="C241"/>
  <c r="D241"/>
  <c r="M241"/>
  <c r="N241"/>
  <c r="O241"/>
  <c r="Q241"/>
  <c r="C242"/>
  <c r="D242"/>
  <c r="M242"/>
  <c r="N242"/>
  <c r="O242"/>
  <c r="Q242"/>
  <c r="C243"/>
  <c r="D243"/>
  <c r="M243"/>
  <c r="N243"/>
  <c r="O243"/>
  <c r="Q243"/>
  <c r="C244"/>
  <c r="D244"/>
  <c r="M244"/>
  <c r="N244"/>
  <c r="O244"/>
  <c r="Q244"/>
  <c r="C245"/>
  <c r="D245"/>
  <c r="M245"/>
  <c r="N245"/>
  <c r="O245"/>
  <c r="Q245"/>
  <c r="C246"/>
  <c r="D246"/>
  <c r="M246"/>
  <c r="N246"/>
  <c r="O246"/>
  <c r="Q246"/>
  <c r="C247"/>
  <c r="D247"/>
  <c r="M247"/>
  <c r="N247"/>
  <c r="O247"/>
  <c r="Q247"/>
  <c r="C248"/>
  <c r="D248"/>
  <c r="M248"/>
  <c r="N248"/>
  <c r="O248"/>
  <c r="Q248"/>
  <c r="C249"/>
  <c r="D249"/>
  <c r="M249"/>
  <c r="N249"/>
  <c r="O249"/>
  <c r="Q249"/>
  <c r="C250"/>
  <c r="D250"/>
  <c r="M250"/>
  <c r="N250"/>
  <c r="O250"/>
  <c r="Q250"/>
  <c r="C251"/>
  <c r="D251"/>
  <c r="M251"/>
  <c r="N251"/>
  <c r="O251"/>
  <c r="Q251"/>
  <c r="C252"/>
  <c r="D252"/>
  <c r="M252"/>
  <c r="N252"/>
  <c r="O252"/>
  <c r="Q252"/>
  <c r="C253"/>
  <c r="D253"/>
  <c r="M253"/>
  <c r="N253"/>
  <c r="O253"/>
  <c r="Q253"/>
  <c r="C254"/>
  <c r="D254"/>
  <c r="M254"/>
  <c r="N254"/>
  <c r="O254"/>
  <c r="Q254"/>
  <c r="C255"/>
  <c r="D255"/>
  <c r="M255"/>
  <c r="N255"/>
  <c r="O255"/>
  <c r="Q255"/>
  <c r="C256"/>
  <c r="D256"/>
  <c r="M256"/>
  <c r="N256"/>
  <c r="O256"/>
  <c r="Q256"/>
  <c r="C257"/>
  <c r="D257"/>
  <c r="M257"/>
  <c r="N257"/>
  <c r="O257"/>
  <c r="Q257"/>
  <c r="C258"/>
  <c r="D258"/>
  <c r="M258"/>
  <c r="N258"/>
  <c r="O258"/>
  <c r="Q258"/>
  <c r="C259"/>
  <c r="D259"/>
  <c r="M259"/>
  <c r="N259"/>
  <c r="O259"/>
  <c r="Q259"/>
  <c r="C260"/>
  <c r="D260"/>
  <c r="M260"/>
  <c r="N260"/>
  <c r="O260"/>
  <c r="Q260"/>
  <c r="C261"/>
  <c r="D261"/>
  <c r="M261"/>
  <c r="N261"/>
  <c r="O261"/>
  <c r="Q261"/>
  <c r="C262"/>
  <c r="D262"/>
  <c r="M262"/>
  <c r="N262"/>
  <c r="O262"/>
  <c r="Q262"/>
  <c r="C263"/>
  <c r="D263"/>
  <c r="M263"/>
  <c r="N263"/>
  <c r="O263"/>
  <c r="Q263"/>
  <c r="C264"/>
  <c r="D264"/>
  <c r="M264"/>
  <c r="N264"/>
  <c r="O264"/>
  <c r="Q264"/>
  <c r="C265"/>
  <c r="D265"/>
  <c r="M265"/>
  <c r="N265"/>
  <c r="O265"/>
  <c r="Q265"/>
  <c r="C266"/>
  <c r="D266"/>
  <c r="M266"/>
  <c r="N266"/>
  <c r="O266"/>
  <c r="Q266"/>
  <c r="C267"/>
  <c r="D267"/>
  <c r="M267"/>
  <c r="N267"/>
  <c r="O267"/>
  <c r="Q267"/>
  <c r="C268"/>
  <c r="D268"/>
  <c r="M268"/>
  <c r="N268"/>
  <c r="O268"/>
  <c r="Q268"/>
  <c r="C269"/>
  <c r="D269"/>
  <c r="M269"/>
  <c r="N269"/>
  <c r="O269"/>
  <c r="Q269"/>
  <c r="C270"/>
  <c r="D270"/>
  <c r="M270"/>
  <c r="N270"/>
  <c r="O270"/>
  <c r="Q270"/>
  <c r="C271"/>
  <c r="D271"/>
  <c r="M271"/>
  <c r="N271"/>
  <c r="O271"/>
  <c r="Q271"/>
  <c r="C272"/>
  <c r="D272"/>
  <c r="M272"/>
  <c r="N272"/>
  <c r="O272"/>
  <c r="Q272"/>
  <c r="C273"/>
  <c r="D273"/>
  <c r="M273"/>
  <c r="N273"/>
  <c r="O273"/>
  <c r="Q273"/>
  <c r="C274"/>
  <c r="D274"/>
  <c r="M274"/>
  <c r="N274"/>
  <c r="O274"/>
  <c r="Q274"/>
  <c r="C275"/>
  <c r="D275"/>
  <c r="M275"/>
  <c r="N275"/>
  <c r="O275"/>
  <c r="Q275"/>
  <c r="C276"/>
  <c r="D276"/>
  <c r="M276"/>
  <c r="N276"/>
  <c r="O276"/>
  <c r="Q276"/>
  <c r="C277"/>
  <c r="D277"/>
  <c r="M277"/>
  <c r="N277"/>
  <c r="O277"/>
  <c r="Q277"/>
  <c r="C278"/>
  <c r="D278"/>
  <c r="M278"/>
  <c r="N278"/>
  <c r="O278"/>
  <c r="Q278"/>
  <c r="C279"/>
  <c r="D279"/>
  <c r="M279"/>
  <c r="N279"/>
  <c r="O279"/>
  <c r="Q279"/>
  <c r="C280"/>
  <c r="D280"/>
  <c r="M280"/>
  <c r="N280"/>
  <c r="O280"/>
  <c r="Q280"/>
  <c r="C281"/>
  <c r="D281"/>
  <c r="M281"/>
  <c r="N281"/>
  <c r="O281"/>
  <c r="Q281"/>
  <c r="C282"/>
  <c r="D282"/>
  <c r="M282"/>
  <c r="N282"/>
  <c r="O282"/>
  <c r="Q282"/>
  <c r="C283"/>
  <c r="D283"/>
  <c r="M283"/>
  <c r="N283"/>
  <c r="O283"/>
  <c r="Q283"/>
  <c r="C284"/>
  <c r="D284"/>
  <c r="M284"/>
  <c r="N284"/>
  <c r="O284"/>
  <c r="Q284"/>
  <c r="C285"/>
  <c r="D285"/>
  <c r="M285"/>
  <c r="N285"/>
  <c r="O285"/>
  <c r="Q285"/>
  <c r="C286"/>
  <c r="D286"/>
  <c r="M286"/>
  <c r="N286"/>
  <c r="O286"/>
  <c r="Q286"/>
  <c r="C287"/>
  <c r="D287"/>
  <c r="M287"/>
  <c r="N287"/>
  <c r="O287"/>
  <c r="Q287"/>
  <c r="C288"/>
  <c r="D288"/>
  <c r="M288"/>
  <c r="N288"/>
  <c r="O288"/>
  <c r="Q288"/>
  <c r="C289"/>
  <c r="D289"/>
  <c r="M289"/>
  <c r="N289"/>
  <c r="O289"/>
  <c r="Q289"/>
  <c r="C290"/>
  <c r="D290"/>
  <c r="M290"/>
  <c r="N290"/>
  <c r="O290"/>
  <c r="Q290"/>
  <c r="C291"/>
  <c r="D291"/>
  <c r="M291"/>
  <c r="N291"/>
  <c r="O291"/>
  <c r="Q291"/>
  <c r="C292"/>
  <c r="D292"/>
  <c r="M292"/>
  <c r="N292"/>
  <c r="O292"/>
  <c r="Q292"/>
  <c r="C293"/>
  <c r="D293"/>
  <c r="M293"/>
  <c r="N293"/>
  <c r="O293"/>
  <c r="Q293"/>
  <c r="C294"/>
  <c r="D294"/>
  <c r="M294"/>
  <c r="N294"/>
  <c r="O294"/>
  <c r="Q294"/>
  <c r="C295"/>
  <c r="D295"/>
  <c r="M295"/>
  <c r="N295"/>
  <c r="O295"/>
  <c r="Q295"/>
  <c r="C296"/>
  <c r="D296"/>
  <c r="M296"/>
  <c r="N296"/>
  <c r="O296"/>
  <c r="Q296"/>
  <c r="C297"/>
  <c r="D297"/>
  <c r="M297"/>
  <c r="N297"/>
  <c r="O297"/>
  <c r="Q297"/>
  <c r="C298"/>
  <c r="D298"/>
  <c r="M298"/>
  <c r="N298"/>
  <c r="O298"/>
  <c r="Q298"/>
  <c r="C299"/>
  <c r="D299"/>
  <c r="M299"/>
  <c r="N299"/>
  <c r="O299"/>
  <c r="Q299"/>
  <c r="C300"/>
  <c r="D300"/>
  <c r="M300"/>
  <c r="N300"/>
  <c r="O300"/>
  <c r="Q300"/>
  <c r="C301"/>
  <c r="D301"/>
  <c r="M301"/>
  <c r="N301"/>
  <c r="O301"/>
  <c r="Q301"/>
  <c r="C302"/>
  <c r="D302"/>
  <c r="M302"/>
  <c r="N302"/>
  <c r="O302"/>
  <c r="Q302"/>
  <c r="C303"/>
  <c r="D303"/>
  <c r="M303"/>
  <c r="N303"/>
  <c r="O303"/>
  <c r="Q303"/>
  <c r="C304"/>
  <c r="D304"/>
  <c r="M304"/>
  <c r="N304"/>
  <c r="O304"/>
  <c r="Q304"/>
  <c r="C305"/>
  <c r="D305"/>
  <c r="M305"/>
  <c r="N305"/>
  <c r="O305"/>
  <c r="Q305"/>
  <c r="C306"/>
  <c r="D306"/>
  <c r="M306"/>
  <c r="N306"/>
  <c r="O306"/>
  <c r="Q306"/>
  <c r="C307"/>
  <c r="D307"/>
  <c r="M307"/>
  <c r="N307"/>
  <c r="O307"/>
  <c r="Q307"/>
  <c r="C308"/>
  <c r="D308"/>
  <c r="M308"/>
  <c r="N308"/>
  <c r="O308"/>
  <c r="Q308"/>
  <c r="C309"/>
  <c r="D309"/>
  <c r="M309"/>
  <c r="N309"/>
  <c r="O309"/>
  <c r="Q309"/>
  <c r="C310"/>
  <c r="D310"/>
  <c r="M310"/>
  <c r="N310"/>
  <c r="O310"/>
  <c r="Q310"/>
  <c r="C311"/>
  <c r="D311"/>
  <c r="M311"/>
  <c r="N311"/>
  <c r="O311"/>
  <c r="Q311"/>
  <c r="C312"/>
  <c r="D312"/>
  <c r="M312"/>
  <c r="N312"/>
  <c r="O312"/>
  <c r="Q312"/>
  <c r="C313"/>
  <c r="D313"/>
  <c r="M313"/>
  <c r="N313"/>
  <c r="O313"/>
  <c r="Q313"/>
  <c r="C314"/>
  <c r="D314"/>
  <c r="M314"/>
  <c r="N314"/>
  <c r="O314"/>
  <c r="Q314"/>
  <c r="C315"/>
  <c r="D315"/>
  <c r="M315"/>
  <c r="N315"/>
  <c r="O315"/>
  <c r="Q315"/>
  <c r="C316"/>
  <c r="D316"/>
  <c r="M316"/>
  <c r="N316"/>
  <c r="O316"/>
  <c r="Q316"/>
  <c r="C317"/>
  <c r="D317"/>
  <c r="M317"/>
  <c r="N317"/>
  <c r="O317"/>
  <c r="Q317"/>
  <c r="C318"/>
  <c r="D318"/>
  <c r="M318"/>
  <c r="N318"/>
  <c r="O318"/>
  <c r="Q318"/>
  <c r="C319"/>
  <c r="D319"/>
  <c r="M319"/>
  <c r="N319"/>
  <c r="O319"/>
  <c r="Q319"/>
  <c r="C320"/>
  <c r="D320"/>
  <c r="M320"/>
  <c r="N320"/>
  <c r="O320"/>
  <c r="Q320"/>
  <c r="C321"/>
  <c r="D321"/>
  <c r="M321"/>
  <c r="N321"/>
  <c r="O321"/>
  <c r="Q321"/>
  <c r="C322"/>
  <c r="D322"/>
  <c r="M322"/>
  <c r="N322"/>
  <c r="O322"/>
  <c r="Q322"/>
  <c r="C323"/>
  <c r="D323"/>
  <c r="M323"/>
  <c r="N323"/>
  <c r="O323"/>
  <c r="Q323"/>
  <c r="C324"/>
  <c r="D324"/>
  <c r="M324"/>
  <c r="N324"/>
  <c r="O324"/>
  <c r="Q324"/>
  <c r="C325"/>
  <c r="D325"/>
  <c r="M325"/>
  <c r="N325"/>
  <c r="O325"/>
  <c r="Q325"/>
  <c r="C326"/>
  <c r="D326"/>
  <c r="M326"/>
  <c r="N326"/>
  <c r="O326"/>
  <c r="Q326"/>
  <c r="C327"/>
  <c r="D327"/>
  <c r="M327"/>
  <c r="N327"/>
  <c r="O327"/>
  <c r="Q327"/>
  <c r="C328"/>
  <c r="D328"/>
  <c r="M328"/>
  <c r="N328"/>
  <c r="O328"/>
  <c r="Q328"/>
  <c r="C329"/>
  <c r="D329"/>
  <c r="M329"/>
  <c r="N329"/>
  <c r="O329"/>
  <c r="Q329"/>
  <c r="C330"/>
  <c r="D330"/>
  <c r="M330"/>
  <c r="N330"/>
  <c r="O330"/>
  <c r="Q330"/>
  <c r="C331"/>
  <c r="D331"/>
  <c r="M331"/>
  <c r="N331"/>
  <c r="O331"/>
  <c r="Q331"/>
  <c r="C332"/>
  <c r="D332"/>
  <c r="M332"/>
  <c r="N332"/>
  <c r="O332"/>
  <c r="Q332"/>
  <c r="C333"/>
  <c r="D333"/>
  <c r="M333"/>
  <c r="N333"/>
  <c r="O333"/>
  <c r="Q333"/>
  <c r="C334"/>
  <c r="D334"/>
  <c r="M334"/>
  <c r="N334"/>
  <c r="O334"/>
  <c r="Q334"/>
  <c r="C335"/>
  <c r="D335"/>
  <c r="M335"/>
  <c r="N335"/>
  <c r="O335"/>
  <c r="Q335"/>
  <c r="C336"/>
  <c r="D336"/>
  <c r="M336"/>
  <c r="N336"/>
  <c r="O336"/>
  <c r="Q336"/>
  <c r="C337"/>
  <c r="D337"/>
  <c r="M337"/>
  <c r="N337"/>
  <c r="O337"/>
  <c r="Q337"/>
  <c r="C338"/>
  <c r="D338"/>
  <c r="M338"/>
  <c r="N338"/>
  <c r="O338"/>
  <c r="Q338"/>
  <c r="C339"/>
  <c r="D339"/>
  <c r="M339"/>
  <c r="N339"/>
  <c r="O339"/>
  <c r="Q339"/>
  <c r="C340"/>
  <c r="D340"/>
  <c r="M340"/>
  <c r="N340"/>
  <c r="O340"/>
  <c r="Q340"/>
  <c r="C341"/>
  <c r="D341"/>
  <c r="M341"/>
  <c r="N341"/>
  <c r="O341"/>
  <c r="Q341"/>
  <c r="C342"/>
  <c r="D342"/>
  <c r="M342"/>
  <c r="N342"/>
  <c r="O342"/>
  <c r="Q342"/>
  <c r="C343"/>
  <c r="D343"/>
  <c r="M343"/>
  <c r="N343"/>
  <c r="O343"/>
  <c r="Q343"/>
  <c r="C344"/>
  <c r="D344"/>
  <c r="M344"/>
  <c r="N344"/>
  <c r="O344"/>
  <c r="Q344"/>
  <c r="C345"/>
  <c r="D345"/>
  <c r="M345"/>
  <c r="N345"/>
  <c r="O345"/>
  <c r="Q345"/>
  <c r="C346"/>
  <c r="D346"/>
  <c r="M346"/>
  <c r="N346"/>
  <c r="O346"/>
  <c r="Q346"/>
  <c r="C347"/>
  <c r="D347"/>
  <c r="M347"/>
  <c r="N347"/>
  <c r="O347"/>
  <c r="Q347"/>
  <c r="C348"/>
  <c r="D348"/>
  <c r="M348"/>
  <c r="N348"/>
  <c r="O348"/>
  <c r="Q348"/>
  <c r="C349"/>
  <c r="D349"/>
  <c r="M349"/>
  <c r="N349"/>
  <c r="O349"/>
  <c r="Q349"/>
  <c r="C350"/>
  <c r="D350"/>
  <c r="M350"/>
  <c r="N350"/>
  <c r="O350"/>
  <c r="Q350"/>
  <c r="C351"/>
  <c r="D351"/>
  <c r="M351"/>
  <c r="N351"/>
  <c r="O351"/>
  <c r="Q351"/>
  <c r="C352"/>
  <c r="D352"/>
  <c r="M352"/>
  <c r="N352"/>
  <c r="O352"/>
  <c r="Q352"/>
  <c r="C353"/>
  <c r="D353"/>
  <c r="M353"/>
  <c r="N353"/>
  <c r="O353"/>
  <c r="Q353"/>
  <c r="C354"/>
  <c r="D354"/>
  <c r="M354"/>
  <c r="N354"/>
  <c r="O354"/>
  <c r="Q354"/>
  <c r="C355"/>
  <c r="D355"/>
  <c r="M355"/>
  <c r="N355"/>
  <c r="O355"/>
  <c r="Q355"/>
  <c r="C356"/>
  <c r="D356"/>
  <c r="M356"/>
  <c r="N356"/>
  <c r="O356"/>
  <c r="Q356"/>
  <c r="C357"/>
  <c r="D357"/>
  <c r="M357"/>
  <c r="N357"/>
  <c r="O357"/>
  <c r="Q357"/>
  <c r="C358"/>
  <c r="D358"/>
  <c r="M358"/>
  <c r="N358"/>
  <c r="O358"/>
  <c r="Q358"/>
  <c r="C359"/>
  <c r="D359"/>
  <c r="M359"/>
  <c r="N359"/>
  <c r="O359"/>
  <c r="Q359"/>
  <c r="C360"/>
  <c r="D360"/>
  <c r="M360"/>
  <c r="N360"/>
  <c r="O360"/>
  <c r="Q360"/>
  <c r="C361"/>
  <c r="D361"/>
  <c r="M361"/>
  <c r="N361"/>
  <c r="O361"/>
  <c r="Q361"/>
  <c r="C362"/>
  <c r="D362"/>
  <c r="M362"/>
  <c r="N362"/>
  <c r="O362"/>
  <c r="Q362"/>
  <c r="C363"/>
  <c r="D363"/>
  <c r="M363"/>
  <c r="N363"/>
  <c r="O363"/>
  <c r="Q363"/>
  <c r="C364"/>
  <c r="D364"/>
  <c r="M364"/>
  <c r="N364"/>
  <c r="O364"/>
  <c r="Q364"/>
  <c r="C365"/>
  <c r="D365"/>
  <c r="M365"/>
  <c r="N365"/>
  <c r="O365"/>
  <c r="Q365"/>
  <c r="C366"/>
  <c r="D366"/>
  <c r="M366"/>
  <c r="N366"/>
  <c r="O366"/>
  <c r="Q366"/>
  <c r="C367"/>
  <c r="D367"/>
  <c r="M367"/>
  <c r="N367"/>
  <c r="O367"/>
  <c r="Q367"/>
  <c r="C368"/>
  <c r="D368"/>
  <c r="M368"/>
  <c r="N368"/>
  <c r="O368"/>
  <c r="Q368"/>
  <c r="C369"/>
  <c r="D369"/>
  <c r="M369"/>
  <c r="N369"/>
  <c r="O369"/>
  <c r="Q369"/>
  <c r="C370"/>
  <c r="D370"/>
  <c r="M370"/>
  <c r="N370"/>
  <c r="O370"/>
  <c r="Q370"/>
  <c r="C371"/>
  <c r="D371"/>
  <c r="M371"/>
  <c r="N371"/>
  <c r="O371"/>
  <c r="Q371"/>
  <c r="C372"/>
  <c r="D372"/>
  <c r="M372"/>
  <c r="N372"/>
  <c r="O372"/>
  <c r="Q372"/>
  <c r="C373"/>
  <c r="D373"/>
  <c r="M373"/>
  <c r="N373"/>
  <c r="O373"/>
  <c r="Q373"/>
  <c r="C374"/>
  <c r="D374"/>
  <c r="M374"/>
  <c r="N374"/>
  <c r="O374"/>
  <c r="Q374"/>
  <c r="C375"/>
  <c r="D375"/>
  <c r="M375"/>
  <c r="N375"/>
  <c r="O375"/>
  <c r="Q375"/>
  <c r="C376"/>
  <c r="D376"/>
  <c r="M376"/>
  <c r="N376"/>
  <c r="O376"/>
  <c r="Q376"/>
  <c r="C377"/>
  <c r="D377"/>
  <c r="M377"/>
  <c r="N377"/>
  <c r="O377"/>
  <c r="Q377"/>
  <c r="C378"/>
  <c r="D378"/>
  <c r="M378"/>
  <c r="N378"/>
  <c r="O378"/>
  <c r="Q378"/>
  <c r="C379"/>
  <c r="D379"/>
  <c r="M379"/>
  <c r="N379"/>
  <c r="O379"/>
  <c r="Q379"/>
  <c r="C380"/>
  <c r="D380"/>
  <c r="M380"/>
  <c r="N380"/>
  <c r="O380"/>
  <c r="Q380"/>
  <c r="C381"/>
  <c r="D381"/>
  <c r="M381"/>
  <c r="N381"/>
  <c r="O381"/>
  <c r="Q381"/>
  <c r="C382"/>
  <c r="D382"/>
  <c r="M382"/>
  <c r="N382"/>
  <c r="O382"/>
  <c r="Q382"/>
  <c r="C383"/>
  <c r="D383"/>
  <c r="M383"/>
  <c r="N383"/>
  <c r="O383"/>
  <c r="Q383"/>
  <c r="C384"/>
  <c r="D384"/>
  <c r="M384"/>
  <c r="N384"/>
  <c r="O384"/>
  <c r="Q384"/>
  <c r="C385"/>
  <c r="D385"/>
  <c r="M385"/>
  <c r="N385"/>
  <c r="O385"/>
  <c r="Q385"/>
  <c r="C386"/>
  <c r="D386"/>
  <c r="M386"/>
  <c r="N386"/>
  <c r="O386"/>
  <c r="Q386"/>
  <c r="C387"/>
  <c r="D387"/>
  <c r="M387"/>
  <c r="N387"/>
  <c r="O387"/>
  <c r="Q387"/>
  <c r="C388"/>
  <c r="D388"/>
  <c r="M388"/>
  <c r="N388"/>
  <c r="O388"/>
  <c r="Q388"/>
  <c r="C389"/>
  <c r="D389"/>
  <c r="M389"/>
  <c r="N389"/>
  <c r="O389"/>
  <c r="Q389"/>
  <c r="C390"/>
  <c r="D390"/>
  <c r="M390"/>
  <c r="N390"/>
  <c r="O390"/>
  <c r="Q390"/>
  <c r="C391"/>
  <c r="D391"/>
  <c r="M391"/>
  <c r="N391"/>
  <c r="O391"/>
  <c r="Q391"/>
  <c r="C392"/>
  <c r="D392"/>
  <c r="M392"/>
  <c r="N392"/>
  <c r="O392"/>
  <c r="Q392"/>
  <c r="C393"/>
  <c r="D393"/>
  <c r="M393"/>
  <c r="N393"/>
  <c r="O393"/>
  <c r="Q393"/>
  <c r="C394"/>
  <c r="D394"/>
  <c r="M394"/>
  <c r="N394"/>
  <c r="O394"/>
  <c r="Q394"/>
  <c r="C395"/>
  <c r="D395"/>
  <c r="M395"/>
  <c r="N395"/>
  <c r="O395"/>
  <c r="Q395"/>
  <c r="C396"/>
  <c r="D396"/>
  <c r="M396"/>
  <c r="N396"/>
  <c r="O396"/>
  <c r="Q396"/>
  <c r="C397"/>
  <c r="D397"/>
  <c r="M397"/>
  <c r="N397"/>
  <c r="O397"/>
  <c r="Q397"/>
  <c r="C398"/>
  <c r="D398"/>
  <c r="M398"/>
  <c r="N398"/>
  <c r="O398"/>
  <c r="Q398"/>
  <c r="C399"/>
  <c r="D399"/>
  <c r="M399"/>
  <c r="N399"/>
  <c r="O399"/>
  <c r="Q399"/>
  <c r="C400"/>
  <c r="D400"/>
  <c r="M400"/>
  <c r="N400"/>
  <c r="O400"/>
  <c r="Q400"/>
  <c r="C401"/>
  <c r="D401"/>
  <c r="M401"/>
  <c r="N401"/>
  <c r="O401"/>
  <c r="Q401"/>
  <c r="C402"/>
  <c r="D402"/>
  <c r="M402"/>
  <c r="N402"/>
  <c r="O402"/>
  <c r="Q402"/>
  <c r="C403"/>
  <c r="D403"/>
  <c r="M403"/>
  <c r="N403"/>
  <c r="O403"/>
  <c r="Q403"/>
  <c r="C404"/>
  <c r="D404"/>
  <c r="M404"/>
  <c r="N404"/>
  <c r="O404"/>
  <c r="Q404"/>
  <c r="C405"/>
  <c r="D405"/>
  <c r="M405"/>
  <c r="N405"/>
  <c r="O405"/>
  <c r="Q405"/>
  <c r="C406"/>
  <c r="D406"/>
  <c r="M406"/>
  <c r="N406"/>
  <c r="O406"/>
  <c r="Q406"/>
  <c r="C407"/>
  <c r="D407"/>
  <c r="M407"/>
  <c r="N407"/>
  <c r="O407"/>
  <c r="Q407"/>
  <c r="C408"/>
  <c r="D408"/>
  <c r="M408"/>
  <c r="N408"/>
  <c r="O408"/>
  <c r="Q408"/>
  <c r="C409"/>
  <c r="D409"/>
  <c r="M409"/>
  <c r="N409"/>
  <c r="O409"/>
  <c r="Q409"/>
  <c r="C410"/>
  <c r="D410"/>
  <c r="M410"/>
  <c r="N410"/>
  <c r="O410"/>
  <c r="Q410"/>
  <c r="C411"/>
  <c r="D411"/>
  <c r="M411"/>
  <c r="N411"/>
  <c r="O411"/>
  <c r="Q411"/>
  <c r="C412"/>
  <c r="D412"/>
  <c r="M412"/>
  <c r="N412"/>
  <c r="O412"/>
  <c r="Q412"/>
  <c r="C413"/>
  <c r="D413"/>
  <c r="M413"/>
  <c r="N413"/>
  <c r="O413"/>
  <c r="Q413"/>
  <c r="C414"/>
  <c r="D414"/>
  <c r="M414"/>
  <c r="N414"/>
  <c r="O414"/>
  <c r="Q414"/>
  <c r="C415"/>
  <c r="D415"/>
  <c r="M415"/>
  <c r="N415"/>
  <c r="O415"/>
  <c r="Q415"/>
  <c r="C416"/>
  <c r="D416"/>
  <c r="M416"/>
  <c r="N416"/>
  <c r="O416"/>
  <c r="Q416"/>
  <c r="C417"/>
  <c r="D417"/>
  <c r="M417"/>
  <c r="N417"/>
  <c r="O417"/>
  <c r="Q417"/>
  <c r="C418"/>
  <c r="D418"/>
  <c r="M418"/>
  <c r="N418"/>
  <c r="O418"/>
  <c r="Q418"/>
  <c r="C419"/>
  <c r="D419"/>
  <c r="M419"/>
  <c r="N419"/>
  <c r="O419"/>
  <c r="Q419"/>
  <c r="C420"/>
  <c r="D420"/>
  <c r="M420"/>
  <c r="N420"/>
  <c r="O420"/>
  <c r="Q420"/>
  <c r="C421"/>
  <c r="D421"/>
  <c r="M421"/>
  <c r="N421"/>
  <c r="O421"/>
  <c r="Q421"/>
  <c r="C422"/>
  <c r="D422"/>
  <c r="M422"/>
  <c r="N422"/>
  <c r="O422"/>
  <c r="Q422"/>
  <c r="C423"/>
  <c r="D423"/>
  <c r="M423"/>
  <c r="N423"/>
  <c r="O423"/>
  <c r="Q423"/>
  <c r="C424"/>
  <c r="D424"/>
  <c r="M424"/>
  <c r="N424"/>
  <c r="O424"/>
  <c r="Q424"/>
  <c r="C425"/>
  <c r="D425"/>
  <c r="M425"/>
  <c r="N425"/>
  <c r="O425"/>
  <c r="Q425"/>
  <c r="C426"/>
  <c r="D426"/>
  <c r="M426"/>
  <c r="N426"/>
  <c r="O426"/>
  <c r="Q426"/>
  <c r="C427"/>
  <c r="D427"/>
  <c r="M427"/>
  <c r="N427"/>
  <c r="O427"/>
  <c r="Q427"/>
  <c r="C428"/>
  <c r="D428"/>
  <c r="M428"/>
  <c r="N428"/>
  <c r="O428"/>
  <c r="Q428"/>
  <c r="C429"/>
  <c r="D429"/>
  <c r="M429"/>
  <c r="N429"/>
  <c r="O429"/>
  <c r="Q429"/>
  <c r="C430"/>
  <c r="D430"/>
  <c r="M430"/>
  <c r="N430"/>
  <c r="O430"/>
  <c r="Q430"/>
  <c r="C431"/>
  <c r="D431"/>
  <c r="M431"/>
  <c r="N431"/>
  <c r="O431"/>
  <c r="Q431"/>
  <c r="C432"/>
  <c r="D432"/>
  <c r="M432"/>
  <c r="N432"/>
  <c r="O432"/>
  <c r="Q432"/>
  <c r="C433"/>
  <c r="D433"/>
  <c r="M433"/>
  <c r="N433"/>
  <c r="O433"/>
  <c r="Q433"/>
  <c r="C434"/>
  <c r="D434"/>
  <c r="M434"/>
  <c r="N434"/>
  <c r="O434"/>
  <c r="Q434"/>
  <c r="C435"/>
  <c r="D435"/>
  <c r="M435"/>
  <c r="N435"/>
  <c r="O435"/>
  <c r="Q435"/>
  <c r="C436"/>
  <c r="D436"/>
  <c r="M436"/>
  <c r="N436"/>
  <c r="O436"/>
  <c r="Q436"/>
  <c r="C437"/>
  <c r="D437"/>
  <c r="M437"/>
  <c r="N437"/>
  <c r="O437"/>
  <c r="Q437"/>
  <c r="C438"/>
  <c r="D438"/>
  <c r="M438"/>
  <c r="N438"/>
  <c r="O438"/>
  <c r="Q438"/>
  <c r="C439"/>
  <c r="D439"/>
  <c r="M439"/>
  <c r="N439"/>
  <c r="O439"/>
  <c r="Q439"/>
  <c r="C440"/>
  <c r="D440"/>
  <c r="M440"/>
  <c r="N440"/>
  <c r="O440"/>
  <c r="Q440"/>
  <c r="C441"/>
  <c r="D441"/>
  <c r="M441"/>
  <c r="N441"/>
  <c r="O441"/>
  <c r="Q441"/>
  <c r="C442"/>
  <c r="D442"/>
  <c r="M442"/>
  <c r="N442"/>
  <c r="O442"/>
  <c r="Q442"/>
  <c r="C443"/>
  <c r="D443"/>
  <c r="M443"/>
  <c r="N443"/>
  <c r="O443"/>
  <c r="Q443"/>
  <c r="C444"/>
  <c r="D444"/>
  <c r="M444"/>
  <c r="N444"/>
  <c r="O444"/>
  <c r="Q444"/>
  <c r="C445"/>
  <c r="D445"/>
  <c r="M445"/>
  <c r="N445"/>
  <c r="O445"/>
  <c r="Q445"/>
  <c r="C446"/>
  <c r="D446"/>
  <c r="M446"/>
  <c r="N446"/>
  <c r="O446"/>
  <c r="Q446"/>
  <c r="C447"/>
  <c r="D447"/>
  <c r="M447"/>
  <c r="N447"/>
  <c r="O447"/>
  <c r="Q447"/>
  <c r="C448"/>
  <c r="D448"/>
  <c r="M448"/>
  <c r="N448"/>
  <c r="O448"/>
  <c r="Q448"/>
  <c r="C449"/>
  <c r="D449"/>
  <c r="M449"/>
  <c r="N449"/>
  <c r="O449"/>
  <c r="Q449"/>
  <c r="C450"/>
  <c r="D450"/>
  <c r="M450"/>
  <c r="N450"/>
  <c r="O450"/>
  <c r="Q450"/>
  <c r="C451"/>
  <c r="D451"/>
  <c r="M451"/>
  <c r="N451"/>
  <c r="O451"/>
  <c r="Q451"/>
  <c r="C452"/>
  <c r="D452"/>
  <c r="M452"/>
  <c r="N452"/>
  <c r="O452"/>
  <c r="Q452"/>
  <c r="C453"/>
  <c r="D453"/>
  <c r="M453"/>
  <c r="N453"/>
  <c r="O453"/>
  <c r="Q453"/>
  <c r="C454"/>
  <c r="D454"/>
  <c r="M454"/>
  <c r="N454"/>
  <c r="O454"/>
  <c r="Q454"/>
  <c r="C455"/>
  <c r="D455"/>
  <c r="M455"/>
  <c r="N455"/>
  <c r="O455"/>
  <c r="Q455"/>
  <c r="C456"/>
  <c r="D456"/>
  <c r="M456"/>
  <c r="N456"/>
  <c r="O456"/>
  <c r="Q456"/>
  <c r="C457"/>
  <c r="D457"/>
  <c r="M457"/>
  <c r="N457"/>
  <c r="O457"/>
  <c r="Q457"/>
  <c r="C458"/>
  <c r="D458"/>
  <c r="M458"/>
  <c r="N458"/>
  <c r="O458"/>
  <c r="Q458"/>
  <c r="C459"/>
  <c r="D459"/>
  <c r="M459"/>
  <c r="N459"/>
  <c r="O459"/>
  <c r="Q459"/>
  <c r="C460"/>
  <c r="D460"/>
  <c r="M460"/>
  <c r="N460"/>
  <c r="O460"/>
  <c r="Q460"/>
  <c r="C461"/>
  <c r="D461"/>
  <c r="M461"/>
  <c r="N461"/>
  <c r="O461"/>
  <c r="Q461"/>
  <c r="C462"/>
  <c r="D462"/>
  <c r="M462"/>
  <c r="N462"/>
  <c r="O462"/>
  <c r="Q462"/>
  <c r="C463"/>
  <c r="D463"/>
  <c r="M463"/>
  <c r="N463"/>
  <c r="O463"/>
  <c r="Q463"/>
  <c r="C464"/>
  <c r="D464"/>
  <c r="M464"/>
  <c r="N464"/>
  <c r="O464"/>
  <c r="Q464"/>
  <c r="C465"/>
  <c r="D465"/>
  <c r="M465"/>
  <c r="N465"/>
  <c r="O465"/>
  <c r="Q465"/>
  <c r="C466"/>
  <c r="D466"/>
  <c r="M466"/>
  <c r="N466"/>
  <c r="O466"/>
  <c r="Q466"/>
  <c r="C467"/>
  <c r="D467"/>
  <c r="M467"/>
  <c r="N467"/>
  <c r="O467"/>
  <c r="Q467"/>
  <c r="C468"/>
  <c r="D468"/>
  <c r="M468"/>
  <c r="N468"/>
  <c r="O468"/>
  <c r="Q468"/>
  <c r="C469"/>
  <c r="D469"/>
  <c r="M469"/>
  <c r="N469"/>
  <c r="O469"/>
  <c r="Q469"/>
  <c r="C470"/>
  <c r="D470"/>
  <c r="M470"/>
  <c r="N470"/>
  <c r="O470"/>
  <c r="Q470"/>
  <c r="C471"/>
  <c r="D471"/>
  <c r="M471"/>
  <c r="N471"/>
  <c r="O471"/>
  <c r="Q471"/>
  <c r="C472"/>
  <c r="D472"/>
  <c r="M472"/>
  <c r="N472"/>
  <c r="O472"/>
  <c r="Q472"/>
  <c r="C473"/>
  <c r="D473"/>
  <c r="M473"/>
  <c r="N473"/>
  <c r="O473"/>
  <c r="Q473"/>
  <c r="C474"/>
  <c r="D474"/>
  <c r="M474"/>
  <c r="N474"/>
  <c r="O474"/>
  <c r="Q474"/>
  <c r="C475"/>
  <c r="D475"/>
  <c r="M475"/>
  <c r="N475"/>
  <c r="O475"/>
  <c r="Q475"/>
  <c r="C476"/>
  <c r="D476"/>
  <c r="M476"/>
  <c r="N476"/>
  <c r="O476"/>
  <c r="Q476"/>
  <c r="C477"/>
  <c r="D477"/>
  <c r="M477"/>
  <c r="N477"/>
  <c r="O477"/>
  <c r="Q477"/>
  <c r="C478"/>
  <c r="D478"/>
  <c r="M478"/>
  <c r="N478"/>
  <c r="O478"/>
  <c r="Q478"/>
  <c r="C479"/>
  <c r="D479"/>
  <c r="M479"/>
  <c r="N479"/>
  <c r="O479"/>
  <c r="Q479"/>
  <c r="C480"/>
  <c r="D480"/>
  <c r="M480"/>
  <c r="N480"/>
  <c r="O480"/>
  <c r="Q480"/>
  <c r="C481"/>
  <c r="D481"/>
  <c r="M481"/>
  <c r="N481"/>
  <c r="O481"/>
  <c r="Q481"/>
  <c r="C482"/>
  <c r="D482"/>
  <c r="M482"/>
  <c r="N482"/>
  <c r="O482"/>
  <c r="Q482"/>
  <c r="C483"/>
  <c r="D483"/>
  <c r="M483"/>
  <c r="N483"/>
  <c r="O483"/>
  <c r="Q483"/>
  <c r="C484"/>
  <c r="D484"/>
  <c r="M484"/>
  <c r="N484"/>
  <c r="O484"/>
  <c r="Q484"/>
  <c r="C485"/>
  <c r="D485"/>
  <c r="M485"/>
  <c r="N485"/>
  <c r="O485"/>
  <c r="Q485"/>
  <c r="C486"/>
  <c r="D486"/>
  <c r="M486"/>
  <c r="N486"/>
  <c r="O486"/>
  <c r="Q486"/>
  <c r="C487"/>
  <c r="D487"/>
  <c r="M487"/>
  <c r="N487"/>
  <c r="O487"/>
  <c r="Q487"/>
  <c r="C488"/>
  <c r="D488"/>
  <c r="M488"/>
  <c r="N488"/>
  <c r="O488"/>
  <c r="Q488"/>
  <c r="C489"/>
  <c r="D489"/>
  <c r="M489"/>
  <c r="N489"/>
  <c r="O489"/>
  <c r="Q489"/>
  <c r="C490"/>
  <c r="D490"/>
  <c r="M490"/>
  <c r="N490"/>
  <c r="O490"/>
  <c r="Q490"/>
  <c r="C491"/>
  <c r="D491"/>
  <c r="M491"/>
  <c r="N491"/>
  <c r="O491"/>
  <c r="Q491"/>
  <c r="C492"/>
  <c r="D492"/>
  <c r="M492"/>
  <c r="N492"/>
  <c r="O492"/>
  <c r="Q492"/>
  <c r="C493"/>
  <c r="D493"/>
  <c r="M493"/>
  <c r="N493"/>
  <c r="O493"/>
  <c r="Q493"/>
  <c r="C494"/>
  <c r="D494"/>
  <c r="M494"/>
  <c r="N494"/>
  <c r="O494"/>
  <c r="Q494"/>
  <c r="C495"/>
  <c r="D495"/>
  <c r="M495"/>
  <c r="N495"/>
  <c r="O495"/>
  <c r="Q495"/>
  <c r="C496"/>
  <c r="D496"/>
  <c r="M496"/>
  <c r="N496"/>
  <c r="O496"/>
  <c r="Q496"/>
  <c r="C497"/>
  <c r="D497"/>
  <c r="M497"/>
  <c r="N497"/>
  <c r="O497"/>
  <c r="Q497"/>
  <c r="C498"/>
  <c r="D498"/>
  <c r="M498"/>
  <c r="N498"/>
  <c r="O498"/>
  <c r="Q498"/>
  <c r="C499"/>
  <c r="D499"/>
  <c r="M499"/>
  <c r="N499"/>
  <c r="O499"/>
  <c r="Q499"/>
  <c r="C500"/>
  <c r="D500"/>
  <c r="M500"/>
  <c r="N500"/>
  <c r="O500"/>
  <c r="Q500"/>
  <c r="C501"/>
  <c r="D501"/>
  <c r="M501"/>
  <c r="N501"/>
  <c r="O501"/>
  <c r="Q501"/>
  <c r="C502"/>
  <c r="D502"/>
  <c r="M502"/>
  <c r="N502"/>
  <c r="O502"/>
  <c r="Q502"/>
  <c r="C503"/>
  <c r="D503"/>
  <c r="M503"/>
  <c r="N503"/>
  <c r="O503"/>
  <c r="Q503"/>
  <c r="C504"/>
  <c r="D504"/>
  <c r="M504"/>
  <c r="N504"/>
  <c r="O504"/>
  <c r="Q504"/>
  <c r="C505"/>
  <c r="D505"/>
  <c r="M505"/>
  <c r="N505"/>
  <c r="O505"/>
  <c r="Q505"/>
  <c r="C506"/>
  <c r="D506"/>
  <c r="M506"/>
  <c r="N506"/>
  <c r="O506"/>
  <c r="Q506"/>
  <c r="C507"/>
  <c r="D507"/>
  <c r="M507"/>
  <c r="N507"/>
  <c r="O507"/>
  <c r="Q507"/>
  <c r="C508"/>
  <c r="D508"/>
  <c r="M508"/>
  <c r="N508"/>
  <c r="O508"/>
  <c r="Q508"/>
  <c r="C509"/>
  <c r="D509"/>
  <c r="M509"/>
  <c r="N509"/>
  <c r="O509"/>
  <c r="Q509"/>
  <c r="C510"/>
  <c r="D510"/>
  <c r="M510"/>
  <c r="N510"/>
  <c r="O510"/>
  <c r="Q510"/>
  <c r="C511"/>
  <c r="D511"/>
  <c r="M511"/>
  <c r="N511"/>
  <c r="O511"/>
  <c r="Q511"/>
  <c r="C512"/>
  <c r="D512"/>
  <c r="M512"/>
  <c r="N512"/>
  <c r="O512"/>
  <c r="Q512"/>
  <c r="C513"/>
  <c r="D513"/>
  <c r="M513"/>
  <c r="N513"/>
  <c r="O513"/>
  <c r="Q513"/>
  <c r="C514"/>
  <c r="D514"/>
  <c r="M514"/>
  <c r="N514"/>
  <c r="O514"/>
  <c r="Q514"/>
  <c r="C515"/>
  <c r="D515"/>
  <c r="M515"/>
  <c r="N515"/>
  <c r="O515"/>
  <c r="Q515"/>
  <c r="C516"/>
  <c r="D516"/>
  <c r="M516"/>
  <c r="N516"/>
  <c r="O516"/>
  <c r="Q516"/>
  <c r="C517"/>
  <c r="D517"/>
  <c r="M517"/>
  <c r="N517"/>
  <c r="O517"/>
  <c r="Q517"/>
  <c r="C518"/>
  <c r="D518"/>
  <c r="M518"/>
  <c r="N518"/>
  <c r="O518"/>
  <c r="Q518"/>
  <c r="C519"/>
  <c r="D519"/>
  <c r="M519"/>
  <c r="N519"/>
  <c r="O519"/>
  <c r="Q519"/>
  <c r="C520"/>
  <c r="D520"/>
  <c r="M520"/>
  <c r="N520"/>
  <c r="O520"/>
  <c r="Q520"/>
  <c r="C521"/>
  <c r="D521"/>
  <c r="M521"/>
  <c r="N521"/>
  <c r="O521"/>
  <c r="Q521"/>
  <c r="C522"/>
  <c r="D522"/>
  <c r="M522"/>
  <c r="N522"/>
  <c r="O522"/>
  <c r="Q522"/>
  <c r="C523"/>
  <c r="D523"/>
  <c r="M523"/>
  <c r="N523"/>
  <c r="O523"/>
  <c r="Q523"/>
  <c r="C524"/>
  <c r="D524"/>
  <c r="M524"/>
  <c r="N524"/>
  <c r="O524"/>
  <c r="Q524"/>
  <c r="C525"/>
  <c r="D525"/>
  <c r="M525"/>
  <c r="N525"/>
  <c r="O525"/>
  <c r="Q525"/>
  <c r="C526"/>
  <c r="D526"/>
  <c r="M526"/>
  <c r="N526"/>
  <c r="O526"/>
  <c r="Q526"/>
  <c r="C527"/>
  <c r="D527"/>
  <c r="M527"/>
  <c r="N527"/>
  <c r="O527"/>
  <c r="Q527"/>
  <c r="C528"/>
  <c r="D528"/>
  <c r="M528"/>
  <c r="N528"/>
  <c r="O528"/>
  <c r="Q528"/>
  <c r="C529"/>
  <c r="D529"/>
  <c r="M529"/>
  <c r="N529"/>
  <c r="O529"/>
  <c r="Q529"/>
  <c r="C530"/>
  <c r="D530"/>
  <c r="M530"/>
  <c r="N530"/>
  <c r="O530"/>
  <c r="Q530"/>
  <c r="C531"/>
  <c r="D531"/>
  <c r="M531"/>
  <c r="N531"/>
  <c r="O531"/>
  <c r="Q531"/>
  <c r="C532"/>
  <c r="D532"/>
  <c r="M532"/>
  <c r="N532"/>
  <c r="O532"/>
  <c r="Q532"/>
  <c r="C533"/>
  <c r="D533"/>
  <c r="M533"/>
  <c r="N533"/>
  <c r="O533"/>
  <c r="Q533"/>
  <c r="C534"/>
  <c r="D534"/>
  <c r="M534"/>
  <c r="N534"/>
  <c r="O534"/>
  <c r="Q534"/>
  <c r="C535"/>
  <c r="D535"/>
  <c r="M535"/>
  <c r="N535"/>
  <c r="O535"/>
  <c r="Q535"/>
  <c r="C536"/>
  <c r="D536"/>
  <c r="M536"/>
  <c r="N536"/>
  <c r="O536"/>
  <c r="Q536"/>
  <c r="C537"/>
  <c r="D537"/>
  <c r="M537"/>
  <c r="N537"/>
  <c r="O537"/>
  <c r="Q537"/>
  <c r="C538"/>
  <c r="D538"/>
  <c r="M538"/>
  <c r="N538"/>
  <c r="O538"/>
  <c r="Q538"/>
  <c r="C539"/>
  <c r="D539"/>
  <c r="M539"/>
  <c r="N539"/>
  <c r="O539"/>
  <c r="Q539"/>
  <c r="C540"/>
  <c r="D540"/>
  <c r="M540"/>
  <c r="N540"/>
  <c r="O540"/>
  <c r="Q540"/>
  <c r="C541"/>
  <c r="D541"/>
  <c r="M541"/>
  <c r="N541"/>
  <c r="O541"/>
  <c r="Q541"/>
  <c r="C542"/>
  <c r="D542"/>
  <c r="M542"/>
  <c r="N542"/>
  <c r="O542"/>
  <c r="Q542"/>
  <c r="C543"/>
  <c r="D543"/>
  <c r="M543"/>
  <c r="N543"/>
  <c r="O543"/>
  <c r="Q543"/>
  <c r="C544"/>
  <c r="D544"/>
  <c r="M544"/>
  <c r="N544"/>
  <c r="O544"/>
  <c r="Q544"/>
  <c r="C545"/>
  <c r="D545"/>
  <c r="M545"/>
  <c r="N545"/>
  <c r="O545"/>
  <c r="Q545"/>
  <c r="C546"/>
  <c r="D546"/>
  <c r="M546"/>
  <c r="N546"/>
  <c r="O546"/>
  <c r="Q546"/>
  <c r="C547"/>
  <c r="D547"/>
  <c r="M547"/>
  <c r="N547"/>
  <c r="O547"/>
  <c r="Q547"/>
  <c r="C548"/>
  <c r="D548"/>
  <c r="M548"/>
  <c r="N548"/>
  <c r="O548"/>
  <c r="Q548"/>
  <c r="C549"/>
  <c r="D549"/>
  <c r="M549"/>
  <c r="N549"/>
  <c r="O549"/>
  <c r="Q549"/>
  <c r="C550"/>
  <c r="D550"/>
  <c r="M550"/>
  <c r="N550"/>
  <c r="O550"/>
  <c r="Q550"/>
  <c r="C551"/>
  <c r="D551"/>
  <c r="M551"/>
  <c r="N551"/>
  <c r="O551"/>
  <c r="Q551"/>
  <c r="C552"/>
  <c r="D552"/>
  <c r="M552"/>
  <c r="N552"/>
  <c r="O552"/>
  <c r="Q552"/>
  <c r="C553"/>
  <c r="D553"/>
  <c r="M553"/>
  <c r="N553"/>
  <c r="O553"/>
  <c r="Q553"/>
  <c r="C554"/>
  <c r="D554"/>
  <c r="M554"/>
  <c r="N554"/>
  <c r="O554"/>
  <c r="Q554"/>
  <c r="C555"/>
  <c r="D555"/>
  <c r="M555"/>
  <c r="N555"/>
  <c r="O555"/>
  <c r="Q555"/>
  <c r="C556"/>
  <c r="D556"/>
  <c r="M556"/>
  <c r="N556"/>
  <c r="O556"/>
  <c r="Q556"/>
  <c r="C557"/>
  <c r="D557"/>
  <c r="M557"/>
  <c r="N557"/>
  <c r="O557"/>
  <c r="Q557"/>
  <c r="C558"/>
  <c r="D558"/>
  <c r="M558"/>
  <c r="N558"/>
  <c r="O558"/>
  <c r="Q558"/>
  <c r="C559"/>
  <c r="D559"/>
  <c r="M559"/>
  <c r="N559"/>
  <c r="O559"/>
  <c r="Q559"/>
  <c r="C560"/>
  <c r="D560"/>
  <c r="M560"/>
  <c r="N560"/>
  <c r="O560"/>
  <c r="Q560"/>
  <c r="C561"/>
  <c r="D561"/>
  <c r="M561"/>
  <c r="N561"/>
  <c r="O561"/>
  <c r="Q561"/>
  <c r="C562"/>
  <c r="D562"/>
  <c r="M562"/>
  <c r="N562"/>
  <c r="O562"/>
  <c r="Q562"/>
  <c r="C563"/>
  <c r="D563"/>
  <c r="M563"/>
  <c r="N563"/>
  <c r="O563"/>
  <c r="Q563"/>
  <c r="C564"/>
  <c r="D564"/>
  <c r="M564"/>
  <c r="N564"/>
  <c r="O564"/>
  <c r="Q564"/>
  <c r="C565"/>
  <c r="D565"/>
  <c r="M565"/>
  <c r="N565"/>
  <c r="O565"/>
  <c r="Q565"/>
  <c r="C566"/>
  <c r="D566"/>
  <c r="M566"/>
  <c r="N566"/>
  <c r="O566"/>
  <c r="Q566"/>
  <c r="C567"/>
  <c r="D567"/>
  <c r="M567"/>
  <c r="N567"/>
  <c r="O567"/>
  <c r="Q567"/>
  <c r="C568"/>
  <c r="D568"/>
  <c r="M568"/>
  <c r="N568"/>
  <c r="O568"/>
  <c r="Q568"/>
  <c r="C569"/>
  <c r="D569"/>
  <c r="M569"/>
  <c r="N569"/>
  <c r="O569"/>
  <c r="Q569"/>
  <c r="C570"/>
  <c r="D570"/>
  <c r="M570"/>
  <c r="N570"/>
  <c r="O570"/>
  <c r="Q570"/>
  <c r="C571"/>
  <c r="D571"/>
  <c r="M571"/>
  <c r="N571"/>
  <c r="O571"/>
  <c r="Q571"/>
  <c r="C572"/>
  <c r="D572"/>
  <c r="M572"/>
  <c r="N572"/>
  <c r="O572"/>
  <c r="Q572"/>
  <c r="C573"/>
  <c r="D573"/>
  <c r="M573"/>
  <c r="N573"/>
  <c r="O573"/>
  <c r="Q573"/>
  <c r="C574"/>
  <c r="D574"/>
  <c r="M574"/>
  <c r="N574"/>
  <c r="O574"/>
  <c r="Q574"/>
  <c r="C575"/>
  <c r="D575"/>
  <c r="M575"/>
  <c r="N575"/>
  <c r="O575"/>
  <c r="Q575"/>
  <c r="C576"/>
  <c r="D576"/>
  <c r="M576"/>
  <c r="N576"/>
  <c r="O576"/>
  <c r="Q576"/>
  <c r="C577"/>
  <c r="D577"/>
  <c r="M577"/>
  <c r="N577"/>
  <c r="O577"/>
  <c r="Q577"/>
  <c r="C578"/>
  <c r="D578"/>
  <c r="M578"/>
  <c r="N578"/>
  <c r="O578"/>
  <c r="Q578"/>
  <c r="C579"/>
  <c r="D579"/>
  <c r="M579"/>
  <c r="N579"/>
  <c r="O579"/>
  <c r="Q579"/>
  <c r="C580"/>
  <c r="D580"/>
  <c r="M580"/>
  <c r="N580"/>
  <c r="O580"/>
  <c r="Q580"/>
  <c r="C581"/>
  <c r="D581"/>
  <c r="M581"/>
  <c r="N581"/>
  <c r="O581"/>
  <c r="Q581"/>
  <c r="C582"/>
  <c r="D582"/>
  <c r="M582"/>
  <c r="N582"/>
  <c r="O582"/>
  <c r="Q582"/>
  <c r="C583"/>
  <c r="D583"/>
  <c r="M583"/>
  <c r="N583"/>
  <c r="O583"/>
  <c r="Q583"/>
  <c r="C584"/>
  <c r="D584"/>
  <c r="M584"/>
  <c r="N584"/>
  <c r="O584"/>
  <c r="Q584"/>
  <c r="C585"/>
  <c r="D585"/>
  <c r="M585"/>
  <c r="N585"/>
  <c r="O585"/>
  <c r="Q585"/>
  <c r="C586"/>
  <c r="D586"/>
  <c r="M586"/>
  <c r="N586"/>
  <c r="O586"/>
  <c r="Q586"/>
  <c r="C587"/>
  <c r="D587"/>
  <c r="M587"/>
  <c r="N587"/>
  <c r="O587"/>
  <c r="Q587"/>
  <c r="C588"/>
  <c r="D588"/>
  <c r="M588"/>
  <c r="N588"/>
  <c r="O588"/>
  <c r="Q588"/>
  <c r="C589"/>
  <c r="D589"/>
  <c r="M589"/>
  <c r="N589"/>
  <c r="O589"/>
  <c r="Q589"/>
  <c r="C590"/>
  <c r="D590"/>
  <c r="M590"/>
  <c r="N590"/>
  <c r="O590"/>
  <c r="Q590"/>
  <c r="C591"/>
  <c r="D591"/>
  <c r="M591"/>
  <c r="N591"/>
  <c r="O591"/>
  <c r="Q591"/>
  <c r="C592"/>
  <c r="D592"/>
  <c r="M592"/>
  <c r="N592"/>
  <c r="O592"/>
  <c r="Q592"/>
  <c r="C593"/>
  <c r="D593"/>
  <c r="M593"/>
  <c r="N593"/>
  <c r="O593"/>
  <c r="Q593"/>
  <c r="C594"/>
  <c r="D594"/>
  <c r="M594"/>
  <c r="N594"/>
  <c r="O594"/>
  <c r="Q594"/>
  <c r="C595"/>
  <c r="D595"/>
  <c r="M595"/>
  <c r="N595"/>
  <c r="O595"/>
  <c r="Q595"/>
  <c r="C596"/>
  <c r="D596"/>
  <c r="M596"/>
  <c r="N596"/>
  <c r="O596"/>
  <c r="Q596"/>
  <c r="C597"/>
  <c r="D597"/>
  <c r="M597"/>
  <c r="N597"/>
  <c r="O597"/>
  <c r="Q597"/>
  <c r="C598"/>
  <c r="D598"/>
  <c r="M598"/>
  <c r="N598"/>
  <c r="O598"/>
  <c r="Q598"/>
  <c r="C599"/>
  <c r="D599"/>
  <c r="M599"/>
  <c r="N599"/>
  <c r="O599"/>
  <c r="Q599"/>
  <c r="C600"/>
  <c r="D600"/>
  <c r="M600"/>
  <c r="N600"/>
  <c r="O600"/>
  <c r="Q600"/>
  <c r="C601"/>
  <c r="D601"/>
  <c r="M601"/>
  <c r="N601"/>
  <c r="O601"/>
  <c r="Q601"/>
  <c r="C602"/>
  <c r="D602"/>
  <c r="M602"/>
  <c r="N602"/>
  <c r="O602"/>
  <c r="Q602"/>
  <c r="C603"/>
  <c r="D603"/>
  <c r="M603"/>
  <c r="N603"/>
  <c r="O603"/>
  <c r="Q603"/>
  <c r="C604"/>
  <c r="D604"/>
  <c r="M604"/>
  <c r="N604"/>
  <c r="O604"/>
  <c r="Q604"/>
  <c r="C605"/>
  <c r="D605"/>
  <c r="M605"/>
  <c r="N605"/>
  <c r="O605"/>
  <c r="Q605"/>
  <c r="C606"/>
  <c r="D606"/>
  <c r="M606"/>
  <c r="N606"/>
  <c r="O606"/>
  <c r="Q606"/>
  <c r="C607"/>
  <c r="D607"/>
  <c r="M607"/>
  <c r="N607"/>
  <c r="O607"/>
  <c r="Q607"/>
  <c r="C608"/>
  <c r="D608"/>
  <c r="M608"/>
  <c r="N608"/>
  <c r="O608"/>
  <c r="Q608"/>
  <c r="C609"/>
  <c r="D609"/>
  <c r="M609"/>
  <c r="N609"/>
  <c r="O609"/>
  <c r="Q609"/>
  <c r="C610"/>
  <c r="D610"/>
  <c r="M610"/>
  <c r="N610"/>
  <c r="O610"/>
  <c r="Q610"/>
  <c r="C611"/>
  <c r="D611"/>
  <c r="M611"/>
  <c r="N611"/>
  <c r="O611"/>
  <c r="Q611"/>
  <c r="C612"/>
  <c r="D612"/>
  <c r="M612"/>
  <c r="N612"/>
  <c r="O612"/>
  <c r="Q612"/>
  <c r="C613"/>
  <c r="D613"/>
  <c r="M613"/>
  <c r="N613"/>
  <c r="O613"/>
  <c r="Q613"/>
  <c r="C614"/>
  <c r="D614"/>
  <c r="M614"/>
  <c r="N614"/>
  <c r="O614"/>
  <c r="Q614"/>
  <c r="C615"/>
  <c r="D615"/>
  <c r="M615"/>
  <c r="N615"/>
  <c r="O615"/>
  <c r="Q615"/>
  <c r="C616"/>
  <c r="D616"/>
  <c r="M616"/>
  <c r="N616"/>
  <c r="O616"/>
  <c r="Q616"/>
  <c r="C617"/>
  <c r="D617"/>
  <c r="M617"/>
  <c r="N617"/>
  <c r="O617"/>
  <c r="Q617"/>
  <c r="C618"/>
  <c r="D618"/>
  <c r="M618"/>
  <c r="N618"/>
  <c r="O618"/>
  <c r="Q618"/>
  <c r="C619"/>
  <c r="D619"/>
  <c r="M619"/>
  <c r="N619"/>
  <c r="O619"/>
  <c r="Q619"/>
  <c r="C620"/>
  <c r="D620"/>
  <c r="M620"/>
  <c r="N620"/>
  <c r="O620"/>
  <c r="Q620"/>
  <c r="C621"/>
  <c r="D621"/>
  <c r="M621"/>
  <c r="N621"/>
  <c r="O621"/>
  <c r="Q621"/>
  <c r="C622"/>
  <c r="D622"/>
  <c r="M622"/>
  <c r="N622"/>
  <c r="O622"/>
  <c r="Q622"/>
  <c r="C623"/>
  <c r="D623"/>
  <c r="M623"/>
  <c r="N623"/>
  <c r="O623"/>
  <c r="Q623"/>
  <c r="C624"/>
  <c r="D624"/>
  <c r="M624"/>
  <c r="N624"/>
  <c r="O624"/>
  <c r="Q624"/>
  <c r="C625"/>
  <c r="D625"/>
  <c r="M625"/>
  <c r="N625"/>
  <c r="O625"/>
  <c r="Q625"/>
  <c r="C626"/>
  <c r="D626"/>
  <c r="M626"/>
  <c r="N626"/>
  <c r="O626"/>
  <c r="Q626"/>
  <c r="C627"/>
  <c r="D627"/>
  <c r="M627"/>
  <c r="N627"/>
  <c r="O627"/>
  <c r="Q627"/>
  <c r="C628"/>
  <c r="D628"/>
  <c r="M628"/>
  <c r="N628"/>
  <c r="O628"/>
  <c r="Q628"/>
  <c r="C629"/>
  <c r="D629"/>
  <c r="M629"/>
  <c r="N629"/>
  <c r="O629"/>
  <c r="Q629"/>
  <c r="C630"/>
  <c r="D630"/>
  <c r="M630"/>
  <c r="N630"/>
  <c r="O630"/>
  <c r="Q630"/>
  <c r="C631"/>
  <c r="D631"/>
  <c r="M631"/>
  <c r="N631"/>
  <c r="O631"/>
  <c r="Q631"/>
  <c r="C632"/>
  <c r="D632"/>
  <c r="M632"/>
  <c r="N632"/>
  <c r="O632"/>
  <c r="Q632"/>
  <c r="C633"/>
  <c r="D633"/>
  <c r="M633"/>
  <c r="N633"/>
  <c r="O633"/>
  <c r="Q633"/>
  <c r="C634"/>
  <c r="D634"/>
  <c r="M634"/>
  <c r="N634"/>
  <c r="O634"/>
  <c r="Q634"/>
  <c r="C635"/>
  <c r="D635"/>
  <c r="M635"/>
  <c r="N635"/>
  <c r="O635"/>
  <c r="Q635"/>
  <c r="C636"/>
  <c r="D636"/>
  <c r="M636"/>
  <c r="N636"/>
  <c r="O636"/>
  <c r="Q636"/>
  <c r="C637"/>
  <c r="D637"/>
  <c r="M637"/>
  <c r="N637"/>
  <c r="O637"/>
  <c r="Q637"/>
  <c r="C638"/>
  <c r="D638"/>
  <c r="M638"/>
  <c r="N638"/>
  <c r="O638"/>
  <c r="Q638"/>
  <c r="C639"/>
  <c r="D639"/>
  <c r="M639"/>
  <c r="N639"/>
  <c r="O639"/>
  <c r="Q639"/>
  <c r="C640"/>
  <c r="D640"/>
  <c r="M640"/>
  <c r="N640"/>
  <c r="O640"/>
  <c r="Q640"/>
  <c r="C641"/>
  <c r="D641"/>
  <c r="M641"/>
  <c r="N641"/>
  <c r="O641"/>
  <c r="Q641"/>
  <c r="C642"/>
  <c r="D642"/>
  <c r="M642"/>
  <c r="N642"/>
  <c r="O642"/>
  <c r="Q642"/>
  <c r="C643"/>
  <c r="D643"/>
  <c r="M643"/>
  <c r="N643"/>
  <c r="O643"/>
  <c r="Q643"/>
  <c r="C644"/>
  <c r="D644"/>
  <c r="M644"/>
  <c r="N644"/>
  <c r="O644"/>
  <c r="Q644"/>
  <c r="C645"/>
  <c r="D645"/>
  <c r="M645"/>
  <c r="N645"/>
  <c r="O645"/>
  <c r="Q645"/>
  <c r="C646"/>
  <c r="D646"/>
  <c r="M646"/>
  <c r="N646"/>
  <c r="O646"/>
  <c r="Q646"/>
  <c r="C647"/>
  <c r="D647"/>
  <c r="M647"/>
  <c r="N647"/>
  <c r="O647"/>
  <c r="Q647"/>
  <c r="C648"/>
  <c r="D648"/>
  <c r="M648"/>
  <c r="N648"/>
  <c r="O648"/>
  <c r="Q648"/>
  <c r="C649"/>
  <c r="D649"/>
  <c r="M649"/>
  <c r="N649"/>
  <c r="O649"/>
  <c r="Q649"/>
  <c r="C650"/>
  <c r="D650"/>
  <c r="M650"/>
  <c r="N650"/>
  <c r="O650"/>
  <c r="Q650"/>
  <c r="C651"/>
  <c r="D651"/>
  <c r="M651"/>
  <c r="N651"/>
  <c r="O651"/>
  <c r="Q651"/>
  <c r="C652"/>
  <c r="D652"/>
  <c r="M652"/>
  <c r="N652"/>
  <c r="O652"/>
  <c r="Q652"/>
  <c r="C653"/>
  <c r="D653"/>
  <c r="M653"/>
  <c r="N653"/>
  <c r="O653"/>
  <c r="Q653"/>
  <c r="C654"/>
  <c r="D654"/>
  <c r="M654"/>
  <c r="N654"/>
  <c r="O654"/>
  <c r="Q654"/>
  <c r="C655"/>
  <c r="D655"/>
  <c r="M655"/>
  <c r="N655"/>
  <c r="O655"/>
  <c r="Q655"/>
  <c r="C656"/>
  <c r="D656"/>
  <c r="M656"/>
  <c r="N656"/>
  <c r="O656"/>
  <c r="Q656"/>
  <c r="C657"/>
  <c r="D657"/>
  <c r="M657"/>
  <c r="N657"/>
  <c r="O657"/>
  <c r="Q657"/>
  <c r="C658"/>
  <c r="D658"/>
  <c r="M658"/>
  <c r="N658"/>
  <c r="O658"/>
  <c r="Q658"/>
  <c r="C659"/>
  <c r="D659"/>
  <c r="M659"/>
  <c r="N659"/>
  <c r="O659"/>
  <c r="Q659"/>
  <c r="C660"/>
  <c r="D660"/>
  <c r="M660"/>
  <c r="N660"/>
  <c r="O660"/>
  <c r="Q660"/>
  <c r="C661"/>
  <c r="D661"/>
  <c r="M661"/>
  <c r="N661"/>
  <c r="O661"/>
  <c r="Q661"/>
  <c r="C662"/>
  <c r="D662"/>
  <c r="M662"/>
  <c r="N662"/>
  <c r="O662"/>
  <c r="Q662"/>
  <c r="C663"/>
  <c r="D663"/>
  <c r="M663"/>
  <c r="N663"/>
  <c r="O663"/>
  <c r="Q663"/>
  <c r="C664"/>
  <c r="D664"/>
  <c r="M664"/>
  <c r="N664"/>
  <c r="O664"/>
  <c r="Q664"/>
  <c r="C665"/>
  <c r="D665"/>
  <c r="M665"/>
  <c r="N665"/>
  <c r="O665"/>
  <c r="Q665"/>
  <c r="C666"/>
  <c r="D666"/>
  <c r="M666"/>
  <c r="N666"/>
  <c r="O666"/>
  <c r="Q666"/>
  <c r="C667"/>
  <c r="D667"/>
  <c r="M667"/>
  <c r="N667"/>
  <c r="O667"/>
  <c r="Q667"/>
  <c r="C668"/>
  <c r="D668"/>
  <c r="M668"/>
  <c r="N668"/>
  <c r="O668"/>
  <c r="Q668"/>
  <c r="C669"/>
  <c r="D669"/>
  <c r="M669"/>
  <c r="N669"/>
  <c r="O669"/>
  <c r="Q669"/>
  <c r="C670"/>
  <c r="D670"/>
  <c r="M670"/>
  <c r="N670"/>
  <c r="O670"/>
  <c r="Q670"/>
  <c r="C671"/>
  <c r="D671"/>
  <c r="M671"/>
  <c r="N671"/>
  <c r="O671"/>
  <c r="Q671"/>
  <c r="C672"/>
  <c r="D672"/>
  <c r="M672"/>
  <c r="N672"/>
  <c r="O672"/>
  <c r="Q672"/>
  <c r="C673"/>
  <c r="D673"/>
  <c r="M673"/>
  <c r="N673"/>
  <c r="O673"/>
  <c r="Q673"/>
  <c r="C674"/>
  <c r="D674"/>
  <c r="M674"/>
  <c r="N674"/>
  <c r="O674"/>
  <c r="Q674"/>
  <c r="C675"/>
  <c r="D675"/>
  <c r="M675"/>
  <c r="N675"/>
  <c r="O675"/>
  <c r="Q675"/>
  <c r="C676"/>
  <c r="D676"/>
  <c r="M676"/>
  <c r="N676"/>
  <c r="O676"/>
  <c r="Q676"/>
  <c r="C677"/>
  <c r="D677"/>
  <c r="M677"/>
  <c r="N677"/>
  <c r="O677"/>
  <c r="Q677"/>
  <c r="C678"/>
  <c r="D678"/>
  <c r="M678"/>
  <c r="N678"/>
  <c r="O678"/>
  <c r="Q678"/>
  <c r="C679"/>
  <c r="D679"/>
  <c r="M679"/>
  <c r="N679"/>
  <c r="O679"/>
  <c r="Q679"/>
  <c r="C680"/>
  <c r="D680"/>
  <c r="M680"/>
  <c r="N680"/>
  <c r="O680"/>
  <c r="Q680"/>
  <c r="C681"/>
  <c r="D681"/>
  <c r="M681"/>
  <c r="N681"/>
  <c r="O681"/>
  <c r="Q681"/>
  <c r="C682"/>
  <c r="D682"/>
  <c r="M682"/>
  <c r="N682"/>
  <c r="O682"/>
  <c r="Q682"/>
  <c r="C683"/>
  <c r="D683"/>
  <c r="M683"/>
  <c r="N683"/>
  <c r="O683"/>
  <c r="Q683"/>
  <c r="C684"/>
  <c r="D684"/>
  <c r="M684"/>
  <c r="N684"/>
  <c r="O684"/>
  <c r="Q684"/>
  <c r="C685"/>
  <c r="D685"/>
  <c r="M685"/>
  <c r="N685"/>
  <c r="O685"/>
  <c r="Q685"/>
  <c r="C686"/>
  <c r="D686"/>
  <c r="M686"/>
  <c r="N686"/>
  <c r="O686"/>
  <c r="Q686"/>
  <c r="C687"/>
  <c r="D687"/>
  <c r="M687"/>
  <c r="N687"/>
  <c r="O687"/>
  <c r="Q687"/>
  <c r="C688"/>
  <c r="D688"/>
  <c r="M688"/>
  <c r="N688"/>
  <c r="O688"/>
  <c r="Q688"/>
  <c r="C689"/>
  <c r="D689"/>
  <c r="M689"/>
  <c r="N689"/>
  <c r="O689"/>
  <c r="Q689"/>
  <c r="C690"/>
  <c r="D690"/>
  <c r="M690"/>
  <c r="N690"/>
  <c r="O690"/>
  <c r="Q690"/>
  <c r="C691"/>
  <c r="D691"/>
  <c r="M691"/>
  <c r="N691"/>
  <c r="O691"/>
  <c r="Q691"/>
  <c r="C692"/>
  <c r="D692"/>
  <c r="M692"/>
  <c r="N692"/>
  <c r="O692"/>
  <c r="Q692"/>
  <c r="C693"/>
  <c r="D693"/>
  <c r="M693"/>
  <c r="N693"/>
  <c r="O693"/>
  <c r="Q693"/>
  <c r="C694"/>
  <c r="D694"/>
  <c r="M694"/>
  <c r="N694"/>
  <c r="O694"/>
  <c r="Q694"/>
  <c r="C695"/>
  <c r="D695"/>
  <c r="M695"/>
  <c r="N695"/>
  <c r="O695"/>
  <c r="Q695"/>
  <c r="C696"/>
  <c r="D696"/>
  <c r="M696"/>
  <c r="N696"/>
  <c r="O696"/>
  <c r="Q696"/>
  <c r="C697"/>
  <c r="D697"/>
  <c r="M697"/>
  <c r="N697"/>
  <c r="O697"/>
  <c r="Q697"/>
  <c r="C698"/>
  <c r="D698"/>
  <c r="M698"/>
  <c r="N698"/>
  <c r="O698"/>
  <c r="Q698"/>
  <c r="C699"/>
  <c r="D699"/>
  <c r="M699"/>
  <c r="N699"/>
  <c r="O699"/>
  <c r="Q699"/>
  <c r="C700"/>
  <c r="D700"/>
  <c r="M700"/>
  <c r="N700"/>
  <c r="O700"/>
  <c r="Q700"/>
  <c r="C701"/>
  <c r="D701"/>
  <c r="M701"/>
  <c r="N701"/>
  <c r="O701"/>
  <c r="Q701"/>
  <c r="C702"/>
  <c r="D702"/>
  <c r="M702"/>
  <c r="N702"/>
  <c r="O702"/>
  <c r="Q702"/>
  <c r="C703"/>
  <c r="D703"/>
  <c r="M703"/>
  <c r="N703"/>
  <c r="O703"/>
  <c r="Q703"/>
  <c r="C704"/>
  <c r="D704"/>
  <c r="M704"/>
  <c r="N704"/>
  <c r="O704"/>
  <c r="Q704"/>
  <c r="C705"/>
  <c r="D705"/>
  <c r="M705"/>
  <c r="N705"/>
  <c r="O705"/>
  <c r="Q705"/>
  <c r="C706"/>
  <c r="D706"/>
  <c r="M706"/>
  <c r="N706"/>
  <c r="O706"/>
  <c r="Q706"/>
  <c r="C707"/>
  <c r="D707"/>
  <c r="M707"/>
  <c r="N707"/>
  <c r="O707"/>
  <c r="Q707"/>
  <c r="C708"/>
  <c r="D708"/>
  <c r="M708"/>
  <c r="N708"/>
  <c r="O708"/>
  <c r="Q708"/>
  <c r="C709"/>
  <c r="D709"/>
  <c r="M709"/>
  <c r="N709"/>
  <c r="O709"/>
  <c r="Q709"/>
  <c r="C710"/>
  <c r="D710"/>
  <c r="M710"/>
  <c r="N710"/>
  <c r="O710"/>
  <c r="Q710"/>
  <c r="C711"/>
  <c r="D711"/>
  <c r="M711"/>
  <c r="N711"/>
  <c r="O711"/>
  <c r="Q711"/>
  <c r="C712"/>
  <c r="D712"/>
  <c r="M712"/>
  <c r="N712"/>
  <c r="O712"/>
  <c r="Q712"/>
  <c r="C713"/>
  <c r="D713"/>
  <c r="M713"/>
  <c r="N713"/>
  <c r="O713"/>
  <c r="Q713"/>
  <c r="C714"/>
  <c r="D714"/>
  <c r="M714"/>
  <c r="N714"/>
  <c r="O714"/>
  <c r="Q714"/>
  <c r="C715"/>
  <c r="D715"/>
  <c r="M715"/>
  <c r="N715"/>
  <c r="O715"/>
  <c r="Q715"/>
  <c r="C716"/>
  <c r="D716"/>
  <c r="M716"/>
  <c r="N716"/>
  <c r="O716"/>
  <c r="Q716"/>
  <c r="C717"/>
  <c r="D717"/>
  <c r="M717"/>
  <c r="N717"/>
  <c r="O717"/>
  <c r="Q717"/>
  <c r="C718"/>
  <c r="D718"/>
  <c r="M718"/>
  <c r="N718"/>
  <c r="O718"/>
  <c r="Q718"/>
  <c r="C719"/>
  <c r="D719"/>
  <c r="M719"/>
  <c r="N719"/>
  <c r="O719"/>
  <c r="Q719"/>
  <c r="C720"/>
  <c r="D720"/>
  <c r="M720"/>
  <c r="N720"/>
  <c r="O720"/>
  <c r="Q720"/>
  <c r="C721"/>
  <c r="D721"/>
  <c r="M721"/>
  <c r="N721"/>
  <c r="O721"/>
  <c r="Q721"/>
  <c r="C722"/>
  <c r="D722"/>
  <c r="M722"/>
  <c r="N722"/>
  <c r="O722"/>
  <c r="Q722"/>
  <c r="C723"/>
  <c r="D723"/>
  <c r="M723"/>
  <c r="N723"/>
  <c r="O723"/>
  <c r="Q723"/>
  <c r="C724"/>
  <c r="D724"/>
  <c r="M724"/>
  <c r="N724"/>
  <c r="O724"/>
  <c r="Q724"/>
  <c r="C725"/>
  <c r="D725"/>
  <c r="M725"/>
  <c r="N725"/>
  <c r="O725"/>
  <c r="Q725"/>
  <c r="C726"/>
  <c r="D726"/>
  <c r="M726"/>
  <c r="N726"/>
  <c r="O726"/>
  <c r="Q726"/>
  <c r="C727"/>
  <c r="D727"/>
  <c r="M727"/>
  <c r="N727"/>
  <c r="O727"/>
  <c r="Q727"/>
  <c r="C728"/>
  <c r="D728"/>
  <c r="M728"/>
  <c r="N728"/>
  <c r="O728"/>
  <c r="Q728"/>
  <c r="C729"/>
  <c r="D729"/>
  <c r="M729"/>
  <c r="N729"/>
  <c r="O729"/>
  <c r="Q729"/>
  <c r="C730"/>
  <c r="D730"/>
  <c r="M730"/>
  <c r="N730"/>
  <c r="O730"/>
  <c r="Q730"/>
  <c r="C731"/>
  <c r="D731"/>
  <c r="M731"/>
  <c r="N731"/>
  <c r="O731"/>
  <c r="Q731"/>
  <c r="C732"/>
  <c r="D732"/>
  <c r="M732"/>
  <c r="N732"/>
  <c r="O732"/>
  <c r="Q732"/>
  <c r="C733"/>
  <c r="D733"/>
  <c r="M733"/>
  <c r="N733"/>
  <c r="O733"/>
  <c r="Q733"/>
  <c r="C734"/>
  <c r="D734"/>
  <c r="M734"/>
  <c r="N734"/>
  <c r="O734"/>
  <c r="Q734"/>
  <c r="C735"/>
  <c r="D735"/>
  <c r="M735"/>
  <c r="N735"/>
  <c r="O735"/>
  <c r="Q735"/>
  <c r="C736"/>
  <c r="D736"/>
  <c r="M736"/>
  <c r="N736"/>
  <c r="O736"/>
  <c r="Q736"/>
  <c r="C737"/>
  <c r="D737"/>
  <c r="M737"/>
  <c r="N737"/>
  <c r="O737"/>
  <c r="Q737"/>
  <c r="C738"/>
  <c r="D738"/>
  <c r="M738"/>
  <c r="N738"/>
  <c r="O738"/>
  <c r="Q738"/>
  <c r="C739"/>
  <c r="D739"/>
  <c r="M739"/>
  <c r="N739"/>
  <c r="O739"/>
  <c r="Q739"/>
  <c r="C740"/>
  <c r="D740"/>
  <c r="M740"/>
  <c r="N740"/>
  <c r="O740"/>
  <c r="Q740"/>
  <c r="C741"/>
  <c r="D741"/>
  <c r="M741"/>
  <c r="N741"/>
  <c r="O741"/>
  <c r="Q741"/>
  <c r="C742"/>
  <c r="D742"/>
  <c r="M742"/>
  <c r="N742"/>
  <c r="O742"/>
  <c r="Q742"/>
  <c r="C743"/>
  <c r="D743"/>
  <c r="M743"/>
  <c r="N743"/>
  <c r="O743"/>
  <c r="Q743"/>
  <c r="C744"/>
  <c r="D744"/>
  <c r="M744"/>
  <c r="N744"/>
  <c r="O744"/>
  <c r="Q744"/>
  <c r="C745"/>
  <c r="D745"/>
  <c r="M745"/>
  <c r="N745"/>
  <c r="O745"/>
  <c r="Q745"/>
  <c r="C746"/>
  <c r="D746"/>
  <c r="M746"/>
  <c r="N746"/>
  <c r="O746"/>
  <c r="Q746"/>
  <c r="C747"/>
  <c r="D747"/>
  <c r="M747"/>
  <c r="N747"/>
  <c r="O747"/>
  <c r="Q747"/>
  <c r="C748"/>
  <c r="D748"/>
  <c r="M748"/>
  <c r="N748"/>
  <c r="O748"/>
  <c r="Q748"/>
  <c r="C749"/>
  <c r="D749"/>
  <c r="M749"/>
  <c r="N749"/>
  <c r="O749"/>
  <c r="Q749"/>
  <c r="C750"/>
  <c r="D750"/>
  <c r="M750"/>
  <c r="N750"/>
  <c r="O750"/>
  <c r="Q750"/>
  <c r="C751"/>
  <c r="D751"/>
  <c r="M751"/>
  <c r="N751"/>
  <c r="O751"/>
  <c r="Q751"/>
  <c r="C752"/>
  <c r="D752"/>
  <c r="M752"/>
  <c r="N752"/>
  <c r="O752"/>
  <c r="Q752"/>
  <c r="C753"/>
  <c r="D753"/>
  <c r="M753"/>
  <c r="N753"/>
  <c r="O753"/>
  <c r="Q753"/>
  <c r="C754"/>
  <c r="D754"/>
  <c r="M754"/>
  <c r="N754"/>
  <c r="O754"/>
  <c r="Q754"/>
  <c r="C755"/>
  <c r="D755"/>
  <c r="M755"/>
  <c r="N755"/>
  <c r="O755"/>
  <c r="Q755"/>
  <c r="C756"/>
  <c r="D756"/>
  <c r="M756"/>
  <c r="N756"/>
  <c r="O756"/>
  <c r="Q756"/>
  <c r="C757"/>
  <c r="D757"/>
  <c r="M757"/>
  <c r="N757"/>
  <c r="O757"/>
  <c r="Q757"/>
  <c r="C758"/>
  <c r="D758"/>
  <c r="M758"/>
  <c r="N758"/>
  <c r="O758"/>
  <c r="Q758"/>
  <c r="C759"/>
  <c r="D759"/>
  <c r="M759"/>
  <c r="N759"/>
  <c r="O759"/>
  <c r="Q759"/>
  <c r="C760"/>
  <c r="D760"/>
  <c r="M760"/>
  <c r="N760"/>
  <c r="O760"/>
  <c r="Q760"/>
  <c r="C761"/>
  <c r="D761"/>
  <c r="M761"/>
  <c r="N761"/>
  <c r="O761"/>
  <c r="Q761"/>
  <c r="C762"/>
  <c r="D762"/>
  <c r="M762"/>
  <c r="N762"/>
  <c r="O762"/>
  <c r="Q762"/>
  <c r="C763"/>
  <c r="D763"/>
  <c r="M763"/>
  <c r="N763"/>
  <c r="O763"/>
  <c r="Q763"/>
  <c r="C764"/>
  <c r="D764"/>
  <c r="M764"/>
  <c r="N764"/>
  <c r="O764"/>
  <c r="Q764"/>
  <c r="C765"/>
  <c r="D765"/>
  <c r="M765"/>
  <c r="N765"/>
  <c r="O765"/>
  <c r="Q765"/>
  <c r="C766"/>
  <c r="D766"/>
  <c r="M766"/>
  <c r="N766"/>
  <c r="O766"/>
  <c r="Q766"/>
  <c r="C767"/>
  <c r="D767"/>
  <c r="M767"/>
  <c r="N767"/>
  <c r="O767"/>
  <c r="Q767"/>
  <c r="C768"/>
  <c r="D768"/>
  <c r="M768"/>
  <c r="N768"/>
  <c r="O768"/>
  <c r="Q768"/>
  <c r="C769"/>
  <c r="D769"/>
  <c r="M769"/>
  <c r="N769"/>
  <c r="O769"/>
  <c r="Q769"/>
  <c r="C770"/>
  <c r="D770"/>
  <c r="M770"/>
  <c r="N770"/>
  <c r="O770"/>
  <c r="Q770"/>
  <c r="C771"/>
  <c r="D771"/>
  <c r="M771"/>
  <c r="N771"/>
  <c r="O771"/>
  <c r="Q771"/>
  <c r="C772"/>
  <c r="D772"/>
  <c r="M772"/>
  <c r="N772"/>
  <c r="O772"/>
  <c r="Q772"/>
  <c r="C773"/>
  <c r="D773"/>
  <c r="M773"/>
  <c r="N773"/>
  <c r="O773"/>
  <c r="Q773"/>
  <c r="C774"/>
  <c r="D774"/>
  <c r="M774"/>
  <c r="N774"/>
  <c r="O774"/>
  <c r="Q774"/>
  <c r="C775"/>
  <c r="D775"/>
  <c r="M775"/>
  <c r="N775"/>
  <c r="O775"/>
  <c r="Q775"/>
  <c r="C776"/>
  <c r="D776"/>
  <c r="M776"/>
  <c r="N776"/>
  <c r="O776"/>
  <c r="Q776"/>
  <c r="C777"/>
  <c r="D777"/>
  <c r="M777"/>
  <c r="N777"/>
  <c r="O777"/>
  <c r="Q777"/>
  <c r="C778"/>
  <c r="D778"/>
  <c r="M778"/>
  <c r="N778"/>
  <c r="O778"/>
  <c r="Q778"/>
  <c r="C779"/>
  <c r="D779"/>
  <c r="M779"/>
  <c r="N779"/>
  <c r="O779"/>
  <c r="Q779"/>
  <c r="C780"/>
  <c r="D780"/>
  <c r="M780"/>
  <c r="N780"/>
  <c r="O780"/>
  <c r="Q780"/>
  <c r="C781"/>
  <c r="D781"/>
  <c r="M781"/>
  <c r="N781"/>
  <c r="O781"/>
  <c r="Q781"/>
  <c r="C782"/>
  <c r="D782"/>
  <c r="M782"/>
  <c r="N782"/>
  <c r="O782"/>
  <c r="Q782"/>
  <c r="C783"/>
  <c r="D783"/>
  <c r="M783"/>
  <c r="N783"/>
  <c r="O783"/>
  <c r="Q783"/>
  <c r="C784"/>
  <c r="D784"/>
  <c r="M784"/>
  <c r="N784"/>
  <c r="O784"/>
  <c r="Q784"/>
  <c r="C785"/>
  <c r="D785"/>
  <c r="M785"/>
  <c r="N785"/>
  <c r="O785"/>
  <c r="Q785"/>
  <c r="C786"/>
  <c r="D786"/>
  <c r="M786"/>
  <c r="N786"/>
  <c r="O786"/>
  <c r="Q786"/>
  <c r="C787"/>
  <c r="D787"/>
  <c r="M787"/>
  <c r="N787"/>
  <c r="O787"/>
  <c r="Q787"/>
  <c r="C788"/>
  <c r="D788"/>
  <c r="M788"/>
  <c r="N788"/>
  <c r="O788"/>
  <c r="Q788"/>
  <c r="C789"/>
  <c r="D789"/>
  <c r="M789"/>
  <c r="N789"/>
  <c r="O789"/>
  <c r="Q789"/>
  <c r="C790"/>
  <c r="D790"/>
  <c r="M790"/>
  <c r="N790"/>
  <c r="O790"/>
  <c r="Q790"/>
  <c r="C791"/>
  <c r="D791"/>
  <c r="M791"/>
  <c r="N791"/>
  <c r="O791"/>
  <c r="Q791"/>
  <c r="C792"/>
  <c r="D792"/>
  <c r="M792"/>
  <c r="N792"/>
  <c r="O792"/>
  <c r="Q792"/>
  <c r="C793"/>
  <c r="D793"/>
  <c r="M793"/>
  <c r="N793"/>
  <c r="O793"/>
  <c r="Q793"/>
  <c r="C794"/>
  <c r="D794"/>
  <c r="M794"/>
  <c r="N794"/>
  <c r="O794"/>
  <c r="Q794"/>
  <c r="C795"/>
  <c r="D795"/>
  <c r="M795"/>
  <c r="N795"/>
  <c r="O795"/>
  <c r="Q795"/>
  <c r="C796"/>
  <c r="D796"/>
  <c r="M796"/>
  <c r="N796"/>
  <c r="O796"/>
  <c r="Q796"/>
  <c r="C797"/>
  <c r="D797"/>
  <c r="M797"/>
  <c r="N797"/>
  <c r="O797"/>
  <c r="Q797"/>
  <c r="C798"/>
  <c r="D798"/>
  <c r="M798"/>
  <c r="N798"/>
  <c r="O798"/>
  <c r="Q798"/>
  <c r="C799"/>
  <c r="D799"/>
  <c r="M799"/>
  <c r="N799"/>
  <c r="O799"/>
  <c r="Q799"/>
  <c r="C800"/>
  <c r="D800"/>
  <c r="M800"/>
  <c r="N800"/>
  <c r="O800"/>
  <c r="Q800"/>
  <c r="C801"/>
  <c r="D801"/>
  <c r="M801"/>
  <c r="N801"/>
  <c r="O801"/>
  <c r="Q801"/>
  <c r="C802"/>
  <c r="D802"/>
  <c r="M802"/>
  <c r="N802"/>
  <c r="O802"/>
  <c r="Q802"/>
  <c r="C803"/>
  <c r="D803"/>
  <c r="M803"/>
  <c r="N803"/>
  <c r="O803"/>
  <c r="Q803"/>
  <c r="C804"/>
  <c r="D804"/>
  <c r="M804"/>
  <c r="N804"/>
  <c r="O804"/>
  <c r="Q804"/>
  <c r="C805"/>
  <c r="D805"/>
  <c r="M805"/>
  <c r="N805"/>
  <c r="O805"/>
  <c r="Q805"/>
  <c r="C806"/>
  <c r="D806"/>
  <c r="M806"/>
  <c r="N806"/>
  <c r="O806"/>
  <c r="Q806"/>
  <c r="C807"/>
  <c r="D807"/>
  <c r="M807"/>
  <c r="N807"/>
  <c r="O807"/>
  <c r="Q807"/>
  <c r="C808"/>
  <c r="D808"/>
  <c r="M808"/>
  <c r="N808"/>
  <c r="O808"/>
  <c r="Q808"/>
  <c r="C809"/>
  <c r="D809"/>
  <c r="M809"/>
  <c r="N809"/>
  <c r="O809"/>
  <c r="Q809"/>
  <c r="C810"/>
  <c r="D810"/>
  <c r="M810"/>
  <c r="N810"/>
  <c r="O810"/>
  <c r="Q810"/>
  <c r="C811"/>
  <c r="D811"/>
  <c r="M811"/>
  <c r="N811"/>
  <c r="O811"/>
  <c r="Q811"/>
  <c r="C812"/>
  <c r="D812"/>
  <c r="M812"/>
  <c r="N812"/>
  <c r="O812"/>
  <c r="Q812"/>
  <c r="C813"/>
  <c r="D813"/>
  <c r="M813"/>
  <c r="N813"/>
  <c r="O813"/>
  <c r="Q813"/>
  <c r="C814"/>
  <c r="D814"/>
  <c r="M814"/>
  <c r="N814"/>
  <c r="O814"/>
  <c r="Q814"/>
  <c r="C815"/>
  <c r="D815"/>
  <c r="M815"/>
  <c r="N815"/>
  <c r="O815"/>
  <c r="Q815"/>
  <c r="C816"/>
  <c r="D816"/>
  <c r="M816"/>
  <c r="N816"/>
  <c r="O816"/>
  <c r="Q816"/>
  <c r="C817"/>
  <c r="D817"/>
  <c r="M817"/>
  <c r="N817"/>
  <c r="O817"/>
  <c r="Q817"/>
  <c r="C818"/>
  <c r="D818"/>
  <c r="M818"/>
  <c r="N818"/>
  <c r="O818"/>
  <c r="Q818"/>
  <c r="C819"/>
  <c r="D819"/>
  <c r="M819"/>
  <c r="N819"/>
  <c r="O819"/>
  <c r="Q819"/>
  <c r="C820"/>
  <c r="D820"/>
  <c r="M820"/>
  <c r="N820"/>
  <c r="O820"/>
  <c r="Q820"/>
  <c r="C821"/>
  <c r="D821"/>
  <c r="M821"/>
  <c r="N821"/>
  <c r="O821"/>
  <c r="Q821"/>
  <c r="C822"/>
  <c r="D822"/>
  <c r="M822"/>
  <c r="N822"/>
  <c r="O822"/>
  <c r="Q822"/>
  <c r="C823"/>
  <c r="D823"/>
  <c r="M823"/>
  <c r="N823"/>
  <c r="O823"/>
  <c r="Q823"/>
  <c r="C824"/>
  <c r="D824"/>
  <c r="M824"/>
  <c r="N824"/>
  <c r="O824"/>
  <c r="Q824"/>
  <c r="C825"/>
  <c r="D825"/>
  <c r="M825"/>
  <c r="N825"/>
  <c r="O825"/>
  <c r="Q825"/>
  <c r="C826"/>
  <c r="D826"/>
  <c r="M826"/>
  <c r="N826"/>
  <c r="O826"/>
  <c r="Q826"/>
  <c r="C827"/>
  <c r="D827"/>
  <c r="M827"/>
  <c r="N827"/>
  <c r="O827"/>
  <c r="Q827"/>
  <c r="C828"/>
  <c r="D828"/>
  <c r="M828"/>
  <c r="N828"/>
  <c r="O828"/>
  <c r="Q828"/>
  <c r="C829"/>
  <c r="D829"/>
  <c r="M829"/>
  <c r="N829"/>
  <c r="O829"/>
  <c r="Q829"/>
  <c r="C830"/>
  <c r="D830"/>
  <c r="M830"/>
  <c r="N830"/>
  <c r="O830"/>
  <c r="Q830"/>
  <c r="C831"/>
  <c r="D831"/>
  <c r="M831"/>
  <c r="N831"/>
  <c r="O831"/>
  <c r="Q831"/>
  <c r="C832"/>
  <c r="D832"/>
  <c r="M832"/>
  <c r="N832"/>
  <c r="O832"/>
  <c r="Q832"/>
  <c r="C833"/>
  <c r="D833"/>
  <c r="M833"/>
  <c r="N833"/>
  <c r="O833"/>
  <c r="Q833"/>
  <c r="C834"/>
  <c r="D834"/>
  <c r="M834"/>
  <c r="N834"/>
  <c r="O834"/>
  <c r="Q834"/>
  <c r="C835"/>
  <c r="D835"/>
  <c r="M835"/>
  <c r="N835"/>
  <c r="O835"/>
  <c r="Q835"/>
  <c r="C836"/>
  <c r="D836"/>
  <c r="M836"/>
  <c r="N836"/>
  <c r="O836"/>
  <c r="Q836"/>
  <c r="C837"/>
  <c r="D837"/>
  <c r="M837"/>
  <c r="N837"/>
  <c r="O837"/>
  <c r="Q837"/>
  <c r="C838"/>
  <c r="D838"/>
  <c r="M838"/>
  <c r="N838"/>
  <c r="O838"/>
  <c r="Q838"/>
  <c r="C839"/>
  <c r="D839"/>
  <c r="M839"/>
  <c r="N839"/>
  <c r="O839"/>
  <c r="Q839"/>
  <c r="C840"/>
  <c r="D840"/>
  <c r="M840"/>
  <c r="N840"/>
  <c r="O840"/>
  <c r="Q840"/>
  <c r="C841"/>
  <c r="D841"/>
  <c r="M841"/>
  <c r="N841"/>
  <c r="O841"/>
  <c r="Q841"/>
  <c r="C842"/>
  <c r="D842"/>
  <c r="M842"/>
  <c r="N842"/>
  <c r="O842"/>
  <c r="Q842"/>
  <c r="C843"/>
  <c r="D843"/>
  <c r="M843"/>
  <c r="N843"/>
  <c r="O843"/>
  <c r="Q843"/>
  <c r="C844"/>
  <c r="D844"/>
  <c r="M844"/>
  <c r="N844"/>
  <c r="O844"/>
  <c r="Q844"/>
  <c r="C845"/>
  <c r="D845"/>
  <c r="M845"/>
  <c r="N845"/>
  <c r="O845"/>
  <c r="Q845"/>
  <c r="C846"/>
  <c r="D846"/>
  <c r="M846"/>
  <c r="N846"/>
  <c r="O846"/>
  <c r="Q846"/>
  <c r="C847"/>
  <c r="D847"/>
  <c r="M847"/>
  <c r="N847"/>
  <c r="O847"/>
  <c r="Q847"/>
  <c r="C848"/>
  <c r="D848"/>
  <c r="M848"/>
  <c r="N848"/>
  <c r="O848"/>
  <c r="Q848"/>
  <c r="C849"/>
  <c r="D849"/>
  <c r="M849"/>
  <c r="N849"/>
  <c r="O849"/>
  <c r="Q849"/>
  <c r="C850"/>
  <c r="D850"/>
  <c r="M850"/>
  <c r="N850"/>
  <c r="O850"/>
  <c r="Q850"/>
  <c r="C851"/>
  <c r="D851"/>
  <c r="M851"/>
  <c r="N851"/>
  <c r="O851"/>
  <c r="Q851"/>
  <c r="C852"/>
  <c r="D852"/>
  <c r="M852"/>
  <c r="N852"/>
  <c r="O852"/>
  <c r="Q852"/>
  <c r="C853"/>
  <c r="D853"/>
  <c r="M853"/>
  <c r="N853"/>
  <c r="O853"/>
  <c r="Q853"/>
  <c r="C854"/>
  <c r="D854"/>
  <c r="M854"/>
  <c r="N854"/>
  <c r="O854"/>
  <c r="Q854"/>
  <c r="C855"/>
  <c r="D855"/>
  <c r="M855"/>
  <c r="N855"/>
  <c r="O855"/>
  <c r="Q855"/>
  <c r="C856"/>
  <c r="D856"/>
  <c r="M856"/>
  <c r="N856"/>
  <c r="O856"/>
  <c r="Q856"/>
  <c r="C857"/>
  <c r="D857"/>
  <c r="M857"/>
  <c r="N857"/>
  <c r="O857"/>
  <c r="Q857"/>
  <c r="C858"/>
  <c r="D858"/>
  <c r="M858"/>
  <c r="N858"/>
  <c r="O858"/>
  <c r="Q858"/>
  <c r="C859"/>
  <c r="D859"/>
  <c r="M859"/>
  <c r="N859"/>
  <c r="O859"/>
  <c r="Q859"/>
  <c r="C860"/>
  <c r="D860"/>
  <c r="M860"/>
  <c r="N860"/>
  <c r="O860"/>
  <c r="Q860"/>
  <c r="C861"/>
  <c r="D861"/>
  <c r="M861"/>
  <c r="N861"/>
  <c r="O861"/>
  <c r="Q861"/>
  <c r="C862"/>
  <c r="D862"/>
  <c r="M862"/>
  <c r="N862"/>
  <c r="O862"/>
  <c r="Q862"/>
  <c r="C863"/>
  <c r="D863"/>
  <c r="M863"/>
  <c r="N863"/>
  <c r="O863"/>
  <c r="Q863"/>
  <c r="C864"/>
  <c r="D864"/>
  <c r="M864"/>
  <c r="N864"/>
  <c r="O864"/>
  <c r="Q864"/>
  <c r="C865"/>
  <c r="D865"/>
  <c r="M865"/>
  <c r="N865"/>
  <c r="O865"/>
  <c r="Q865"/>
  <c r="C866"/>
  <c r="D866"/>
  <c r="M866"/>
  <c r="N866"/>
  <c r="O866"/>
  <c r="Q866"/>
  <c r="C867"/>
  <c r="D867"/>
  <c r="M867"/>
  <c r="N867"/>
  <c r="O867"/>
  <c r="Q867"/>
  <c r="C868"/>
  <c r="D868"/>
  <c r="M868"/>
  <c r="N868"/>
  <c r="O868"/>
  <c r="Q868"/>
  <c r="C869"/>
  <c r="D869"/>
  <c r="M869"/>
  <c r="N869"/>
  <c r="O869"/>
  <c r="Q869"/>
  <c r="C870"/>
  <c r="D870"/>
  <c r="M870"/>
  <c r="N870"/>
  <c r="O870"/>
  <c r="Q870"/>
  <c r="C871"/>
  <c r="D871"/>
  <c r="M871"/>
  <c r="N871"/>
  <c r="O871"/>
  <c r="Q871"/>
  <c r="C872"/>
  <c r="D872"/>
  <c r="M872"/>
  <c r="N872"/>
  <c r="O872"/>
  <c r="Q872"/>
  <c r="C873"/>
  <c r="D873"/>
  <c r="M873"/>
  <c r="N873"/>
  <c r="O873"/>
  <c r="Q873"/>
  <c r="C874"/>
  <c r="D874"/>
  <c r="M874"/>
  <c r="N874"/>
  <c r="O874"/>
  <c r="Q874"/>
  <c r="C875"/>
  <c r="D875"/>
  <c r="M875"/>
  <c r="N875"/>
  <c r="O875"/>
  <c r="Q875"/>
  <c r="C876"/>
  <c r="D876"/>
  <c r="M876"/>
  <c r="N876"/>
  <c r="O876"/>
  <c r="Q876"/>
  <c r="C877"/>
  <c r="D877"/>
  <c r="M877"/>
  <c r="N877"/>
  <c r="O877"/>
  <c r="Q877"/>
  <c r="C878"/>
  <c r="D878"/>
  <c r="M878"/>
  <c r="N878"/>
  <c r="O878"/>
  <c r="Q878"/>
  <c r="C879"/>
  <c r="D879"/>
  <c r="M879"/>
  <c r="N879"/>
  <c r="O879"/>
  <c r="Q879"/>
  <c r="C880"/>
  <c r="D880"/>
  <c r="M880"/>
  <c r="N880"/>
  <c r="O880"/>
  <c r="Q880"/>
  <c r="C881"/>
  <c r="D881"/>
  <c r="M881"/>
  <c r="N881"/>
  <c r="O881"/>
  <c r="Q881"/>
  <c r="C882"/>
  <c r="D882"/>
  <c r="M882"/>
  <c r="N882"/>
  <c r="O882"/>
  <c r="Q882"/>
  <c r="C883"/>
  <c r="D883"/>
  <c r="M883"/>
  <c r="N883"/>
  <c r="O883"/>
  <c r="Q883"/>
  <c r="C884"/>
  <c r="D884"/>
  <c r="M884"/>
  <c r="N884"/>
  <c r="O884"/>
  <c r="Q884"/>
  <c r="C885"/>
  <c r="D885"/>
  <c r="M885"/>
  <c r="N885"/>
  <c r="O885"/>
  <c r="Q885"/>
  <c r="C886"/>
  <c r="D886"/>
  <c r="M886"/>
  <c r="N886"/>
  <c r="O886"/>
  <c r="Q886"/>
  <c r="C887"/>
  <c r="D887"/>
  <c r="M887"/>
  <c r="N887"/>
  <c r="O887"/>
  <c r="Q887"/>
  <c r="C888"/>
  <c r="D888"/>
  <c r="M888"/>
  <c r="N888"/>
  <c r="O888"/>
  <c r="Q888"/>
  <c r="C889"/>
  <c r="D889"/>
  <c r="M889"/>
  <c r="N889"/>
  <c r="O889"/>
  <c r="Q889"/>
  <c r="C890"/>
  <c r="D890"/>
  <c r="M890"/>
  <c r="N890"/>
  <c r="O890"/>
  <c r="Q890"/>
  <c r="C891"/>
  <c r="D891"/>
  <c r="M891"/>
  <c r="N891"/>
  <c r="O891"/>
  <c r="Q891"/>
  <c r="C892"/>
  <c r="D892"/>
  <c r="M892"/>
  <c r="N892"/>
  <c r="O892"/>
  <c r="Q892"/>
  <c r="C893"/>
  <c r="D893"/>
  <c r="M893"/>
  <c r="N893"/>
  <c r="O893"/>
  <c r="Q893"/>
  <c r="C894"/>
  <c r="D894"/>
  <c r="M894"/>
  <c r="N894"/>
  <c r="O894"/>
  <c r="Q894"/>
  <c r="C895"/>
  <c r="D895"/>
  <c r="M895"/>
  <c r="N895"/>
  <c r="O895"/>
  <c r="Q895"/>
  <c r="C896"/>
  <c r="D896"/>
  <c r="M896"/>
  <c r="N896"/>
  <c r="O896"/>
  <c r="Q896"/>
  <c r="C897"/>
  <c r="D897"/>
  <c r="M897"/>
  <c r="N897"/>
  <c r="O897"/>
  <c r="Q897"/>
  <c r="C898"/>
  <c r="D898"/>
  <c r="M898"/>
  <c r="N898"/>
  <c r="O898"/>
  <c r="Q898"/>
  <c r="C899"/>
  <c r="D899"/>
  <c r="M899"/>
  <c r="N899"/>
  <c r="O899"/>
  <c r="Q899"/>
  <c r="C900"/>
  <c r="D900"/>
  <c r="M900"/>
  <c r="N900"/>
  <c r="O900"/>
  <c r="Q900"/>
  <c r="C901"/>
  <c r="D901"/>
  <c r="M901"/>
  <c r="N901"/>
  <c r="O901"/>
  <c r="Q901"/>
  <c r="C902"/>
  <c r="D902"/>
  <c r="M902"/>
  <c r="N902"/>
  <c r="O902"/>
  <c r="Q902"/>
  <c r="C903"/>
  <c r="D903"/>
  <c r="M903"/>
  <c r="N903"/>
  <c r="O903"/>
  <c r="Q903"/>
  <c r="C904"/>
  <c r="D904"/>
  <c r="M904"/>
  <c r="N904"/>
  <c r="O904"/>
  <c r="Q904"/>
  <c r="C905"/>
  <c r="D905"/>
  <c r="M905"/>
  <c r="N905"/>
  <c r="O905"/>
  <c r="Q905"/>
  <c r="C906"/>
  <c r="D906"/>
  <c r="M906"/>
  <c r="N906"/>
  <c r="O906"/>
  <c r="Q906"/>
  <c r="C907"/>
  <c r="D907"/>
  <c r="M907"/>
  <c r="N907"/>
  <c r="O907"/>
  <c r="Q907"/>
  <c r="C908"/>
  <c r="D908"/>
  <c r="M908"/>
  <c r="N908"/>
  <c r="O908"/>
  <c r="Q908"/>
  <c r="C909"/>
  <c r="D909"/>
  <c r="M909"/>
  <c r="N909"/>
  <c r="O909"/>
  <c r="Q909"/>
  <c r="C910"/>
  <c r="D910"/>
  <c r="M910"/>
  <c r="N910"/>
  <c r="O910"/>
  <c r="Q910"/>
  <c r="C911"/>
  <c r="D911"/>
  <c r="M911"/>
  <c r="N911"/>
  <c r="O911"/>
  <c r="Q911"/>
  <c r="C912"/>
  <c r="D912"/>
  <c r="M912"/>
  <c r="N912"/>
  <c r="O912"/>
  <c r="Q912"/>
  <c r="C913"/>
  <c r="D913"/>
  <c r="M913"/>
  <c r="N913"/>
  <c r="O913"/>
  <c r="Q913"/>
  <c r="C914"/>
  <c r="D914"/>
  <c r="M914"/>
  <c r="N914"/>
  <c r="O914"/>
  <c r="Q914"/>
  <c r="C915"/>
  <c r="D915"/>
  <c r="M915"/>
  <c r="N915"/>
  <c r="O915"/>
  <c r="Q915"/>
  <c r="C916"/>
  <c r="D916"/>
  <c r="M916"/>
  <c r="N916"/>
  <c r="O916"/>
  <c r="Q916"/>
  <c r="C917"/>
  <c r="D917"/>
  <c r="M917"/>
  <c r="N917"/>
  <c r="O917"/>
  <c r="Q917"/>
  <c r="C918"/>
  <c r="D918"/>
  <c r="M918"/>
  <c r="N918"/>
  <c r="O918"/>
  <c r="Q918"/>
  <c r="C919"/>
  <c r="D919"/>
  <c r="M919"/>
  <c r="N919"/>
  <c r="O919"/>
  <c r="Q919"/>
  <c r="C920"/>
  <c r="D920"/>
  <c r="M920"/>
  <c r="N920"/>
  <c r="O920"/>
  <c r="Q920"/>
  <c r="C921"/>
  <c r="D921"/>
  <c r="M921"/>
  <c r="N921"/>
  <c r="O921"/>
  <c r="Q921"/>
  <c r="C922"/>
  <c r="D922"/>
  <c r="M922"/>
  <c r="N922"/>
  <c r="O922"/>
  <c r="Q922"/>
  <c r="C923"/>
  <c r="D923"/>
  <c r="M923"/>
  <c r="N923"/>
  <c r="O923"/>
  <c r="Q923"/>
  <c r="C924"/>
  <c r="D924"/>
  <c r="M924"/>
  <c r="N924"/>
  <c r="O924"/>
  <c r="Q924"/>
  <c r="C925"/>
  <c r="D925"/>
  <c r="M925"/>
  <c r="N925"/>
  <c r="O925"/>
  <c r="Q925"/>
  <c r="C926"/>
  <c r="D926"/>
  <c r="M926"/>
  <c r="N926"/>
  <c r="O926"/>
  <c r="Q926"/>
  <c r="C927"/>
  <c r="D927"/>
  <c r="M927"/>
  <c r="N927"/>
  <c r="O927"/>
  <c r="Q927"/>
  <c r="C928"/>
  <c r="D928"/>
  <c r="M928"/>
  <c r="N928"/>
  <c r="O928"/>
  <c r="Q928"/>
  <c r="C929"/>
  <c r="D929"/>
  <c r="M929"/>
  <c r="N929"/>
  <c r="O929"/>
  <c r="Q929"/>
  <c r="C930"/>
  <c r="D930"/>
  <c r="M930"/>
  <c r="N930"/>
  <c r="O930"/>
  <c r="Q930"/>
  <c r="C931"/>
  <c r="D931"/>
  <c r="M931"/>
  <c r="N931"/>
  <c r="O931"/>
  <c r="Q931"/>
  <c r="C932"/>
  <c r="D932"/>
  <c r="M932"/>
  <c r="N932"/>
  <c r="O932"/>
  <c r="Q932"/>
  <c r="C933"/>
  <c r="D933"/>
  <c r="M933"/>
  <c r="N933"/>
  <c r="O933"/>
  <c r="Q933"/>
  <c r="C934"/>
  <c r="D934"/>
  <c r="M934"/>
  <c r="N934"/>
  <c r="O934"/>
  <c r="Q934"/>
  <c r="C935"/>
  <c r="D935"/>
  <c r="M935"/>
  <c r="N935"/>
  <c r="O935"/>
  <c r="Q935"/>
  <c r="C936"/>
  <c r="D936"/>
  <c r="M936"/>
  <c r="N936"/>
  <c r="O936"/>
  <c r="Q936"/>
  <c r="C937"/>
  <c r="D937"/>
  <c r="M937"/>
  <c r="N937"/>
  <c r="O937"/>
  <c r="Q937"/>
  <c r="C938"/>
  <c r="D938"/>
  <c r="M938"/>
  <c r="N938"/>
  <c r="O938"/>
  <c r="Q938"/>
  <c r="C939"/>
  <c r="D939"/>
  <c r="M939"/>
  <c r="N939"/>
  <c r="O939"/>
  <c r="Q939"/>
  <c r="C940"/>
  <c r="D940"/>
  <c r="M940"/>
  <c r="N940"/>
  <c r="O940"/>
  <c r="Q940"/>
  <c r="C941"/>
  <c r="D941"/>
  <c r="M941"/>
  <c r="N941"/>
  <c r="O941"/>
  <c r="Q941"/>
  <c r="C942"/>
  <c r="D942"/>
  <c r="M942"/>
  <c r="N942"/>
  <c r="O942"/>
  <c r="Q942"/>
  <c r="C943"/>
  <c r="D943"/>
  <c r="M943"/>
  <c r="N943"/>
  <c r="O943"/>
  <c r="Q943"/>
  <c r="C944"/>
  <c r="D944"/>
  <c r="M944"/>
  <c r="N944"/>
  <c r="O944"/>
  <c r="Q944"/>
  <c r="C945"/>
  <c r="D945"/>
  <c r="M945"/>
  <c r="N945"/>
  <c r="O945"/>
  <c r="Q945"/>
  <c r="C946"/>
  <c r="D946"/>
  <c r="M946"/>
  <c r="N946"/>
  <c r="O946"/>
  <c r="Q946"/>
  <c r="C947"/>
  <c r="D947"/>
  <c r="M947"/>
  <c r="N947"/>
  <c r="O947"/>
  <c r="Q947"/>
  <c r="C948"/>
  <c r="D948"/>
  <c r="M948"/>
  <c r="N948"/>
  <c r="O948"/>
  <c r="Q948"/>
  <c r="C949"/>
  <c r="D949"/>
  <c r="M949"/>
  <c r="N949"/>
  <c r="O949"/>
  <c r="Q949"/>
  <c r="C950"/>
  <c r="D950"/>
  <c r="M950"/>
  <c r="N950"/>
  <c r="O950"/>
  <c r="Q950"/>
  <c r="C951"/>
  <c r="D951"/>
  <c r="M951"/>
  <c r="N951"/>
  <c r="O951"/>
  <c r="Q951"/>
  <c r="C952"/>
  <c r="D952"/>
  <c r="M952"/>
  <c r="N952"/>
  <c r="O952"/>
  <c r="Q952"/>
  <c r="C953"/>
  <c r="D953"/>
  <c r="M953"/>
  <c r="N953"/>
  <c r="O953"/>
  <c r="Q953"/>
  <c r="C954"/>
  <c r="D954"/>
  <c r="M954"/>
  <c r="N954"/>
  <c r="O954"/>
  <c r="Q954"/>
  <c r="C955"/>
  <c r="D955"/>
  <c r="M955"/>
  <c r="N955"/>
  <c r="O955"/>
  <c r="Q955"/>
  <c r="C956"/>
  <c r="D956"/>
  <c r="M956"/>
  <c r="N956"/>
  <c r="O956"/>
  <c r="Q956"/>
  <c r="C957"/>
  <c r="D957"/>
  <c r="M957"/>
  <c r="N957"/>
  <c r="O957"/>
  <c r="Q957"/>
  <c r="C958"/>
  <c r="D958"/>
  <c r="M958"/>
  <c r="N958"/>
  <c r="O958"/>
  <c r="Q958"/>
  <c r="C959"/>
  <c r="D959"/>
  <c r="M959"/>
  <c r="N959"/>
  <c r="O959"/>
  <c r="Q959"/>
  <c r="C960"/>
  <c r="D960"/>
  <c r="M960"/>
  <c r="N960"/>
  <c r="O960"/>
  <c r="Q960"/>
  <c r="C961"/>
  <c r="D961"/>
  <c r="M961"/>
  <c r="N961"/>
  <c r="O961"/>
  <c r="Q961"/>
  <c r="C962"/>
  <c r="D962"/>
  <c r="M962"/>
  <c r="N962"/>
  <c r="O962"/>
  <c r="Q962"/>
  <c r="C963"/>
  <c r="D963"/>
  <c r="M963"/>
  <c r="N963"/>
  <c r="O963"/>
  <c r="Q963"/>
  <c r="C964"/>
  <c r="D964"/>
  <c r="M964"/>
  <c r="N964"/>
  <c r="O964"/>
  <c r="Q964"/>
  <c r="C965"/>
  <c r="D965"/>
  <c r="M965"/>
  <c r="N965"/>
  <c r="O965"/>
  <c r="Q965"/>
  <c r="C966"/>
  <c r="D966"/>
  <c r="M966"/>
  <c r="N966"/>
  <c r="O966"/>
  <c r="Q966"/>
  <c r="C967"/>
  <c r="D967"/>
  <c r="M967"/>
  <c r="N967"/>
  <c r="O967"/>
  <c r="Q967"/>
  <c r="C968"/>
  <c r="D968"/>
  <c r="M968"/>
  <c r="N968"/>
  <c r="O968"/>
  <c r="Q968"/>
  <c r="C969"/>
  <c r="D969"/>
  <c r="M969"/>
  <c r="N969"/>
  <c r="O969"/>
  <c r="Q969"/>
  <c r="C970"/>
  <c r="D970"/>
  <c r="M970"/>
  <c r="N970"/>
  <c r="O970"/>
  <c r="Q970"/>
  <c r="C971"/>
  <c r="D971"/>
  <c r="M971"/>
  <c r="N971"/>
  <c r="O971"/>
  <c r="Q971"/>
  <c r="C972"/>
  <c r="D972"/>
  <c r="M972"/>
  <c r="N972"/>
  <c r="O972"/>
  <c r="Q972"/>
  <c r="C973"/>
  <c r="D973"/>
  <c r="M973"/>
  <c r="N973"/>
  <c r="O973"/>
  <c r="Q973"/>
  <c r="C974"/>
  <c r="D974"/>
  <c r="M974"/>
  <c r="N974"/>
  <c r="O974"/>
  <c r="Q974"/>
  <c r="C975"/>
  <c r="D975"/>
  <c r="M975"/>
  <c r="N975"/>
  <c r="O975"/>
  <c r="Q975"/>
  <c r="C976"/>
  <c r="D976"/>
  <c r="M976"/>
  <c r="N976"/>
  <c r="O976"/>
  <c r="Q976"/>
  <c r="C977"/>
  <c r="D977"/>
  <c r="M977"/>
  <c r="N977"/>
  <c r="O977"/>
  <c r="Q977"/>
  <c r="C978"/>
  <c r="D978"/>
  <c r="M978"/>
  <c r="N978"/>
  <c r="O978"/>
  <c r="Q978"/>
  <c r="C979"/>
  <c r="D979"/>
  <c r="M979"/>
  <c r="N979"/>
  <c r="O979"/>
  <c r="Q979"/>
  <c r="C980"/>
  <c r="D980"/>
  <c r="M980"/>
  <c r="N980"/>
  <c r="O980"/>
  <c r="Q980"/>
  <c r="C981"/>
  <c r="D981"/>
  <c r="M981"/>
  <c r="N981"/>
  <c r="O981"/>
  <c r="Q981"/>
  <c r="C982"/>
  <c r="D982"/>
  <c r="M982"/>
  <c r="N982"/>
  <c r="O982"/>
  <c r="Q982"/>
  <c r="C983"/>
  <c r="D983"/>
  <c r="M983"/>
  <c r="N983"/>
  <c r="O983"/>
  <c r="Q983"/>
  <c r="C984"/>
  <c r="D984"/>
  <c r="M984"/>
  <c r="N984"/>
  <c r="O984"/>
  <c r="Q984"/>
  <c r="C985"/>
  <c r="D985"/>
  <c r="M985"/>
  <c r="N985"/>
  <c r="O985"/>
  <c r="Q985"/>
  <c r="C986"/>
  <c r="D986"/>
  <c r="M986"/>
  <c r="N986"/>
  <c r="O986"/>
  <c r="Q986"/>
  <c r="C987"/>
  <c r="D987"/>
  <c r="M987"/>
  <c r="N987"/>
  <c r="O987"/>
  <c r="Q987"/>
  <c r="C988"/>
  <c r="D988"/>
  <c r="M988"/>
  <c r="N988"/>
  <c r="O988"/>
  <c r="Q988"/>
  <c r="C989"/>
  <c r="D989"/>
  <c r="M989"/>
  <c r="N989"/>
  <c r="O989"/>
  <c r="Q989"/>
  <c r="C990"/>
  <c r="D990"/>
  <c r="M990"/>
  <c r="N990"/>
  <c r="O990"/>
  <c r="Q990"/>
  <c r="C991"/>
  <c r="D991"/>
  <c r="M991"/>
  <c r="N991"/>
  <c r="O991"/>
  <c r="Q991"/>
  <c r="C992"/>
  <c r="D992"/>
  <c r="M992"/>
  <c r="N992"/>
  <c r="O992"/>
  <c r="Q992"/>
  <c r="C993"/>
  <c r="D993"/>
  <c r="M993"/>
  <c r="N993"/>
  <c r="O993"/>
  <c r="Q993"/>
  <c r="C994"/>
  <c r="D994"/>
  <c r="M994"/>
  <c r="N994"/>
  <c r="O994"/>
  <c r="Q994"/>
  <c r="C995"/>
  <c r="D995"/>
  <c r="M995"/>
  <c r="N995"/>
  <c r="O995"/>
  <c r="Q995"/>
  <c r="C996"/>
  <c r="D996"/>
  <c r="M996"/>
  <c r="N996"/>
  <c r="O996"/>
  <c r="Q996"/>
  <c r="C997"/>
  <c r="D997"/>
  <c r="M997"/>
  <c r="N997"/>
  <c r="O997"/>
  <c r="Q997"/>
  <c r="C998"/>
  <c r="D998"/>
  <c r="M998"/>
  <c r="N998"/>
  <c r="O998"/>
  <c r="Q998"/>
  <c r="C999"/>
  <c r="D999"/>
  <c r="M999"/>
  <c r="N999"/>
  <c r="O999"/>
  <c r="Q999"/>
  <c r="C1000"/>
  <c r="D1000"/>
  <c r="M1000"/>
  <c r="N1000"/>
  <c r="O1000"/>
  <c r="Q1000"/>
  <c r="C1001"/>
  <c r="D1001"/>
  <c r="M1001"/>
  <c r="N1001"/>
  <c r="O1001"/>
  <c r="Q1001"/>
  <c r="C1002"/>
  <c r="D1002"/>
  <c r="M1002"/>
  <c r="N1002"/>
  <c r="O1002"/>
  <c r="Q1002"/>
  <c r="C1003"/>
  <c r="D1003"/>
  <c r="M1003"/>
  <c r="N1003"/>
  <c r="O1003"/>
  <c r="Q1003"/>
  <c r="C1004"/>
  <c r="D1004"/>
  <c r="M1004"/>
  <c r="N1004"/>
  <c r="O1004"/>
  <c r="Q1004"/>
  <c r="C1005"/>
  <c r="D1005"/>
  <c r="M1005"/>
  <c r="N1005"/>
  <c r="O1005"/>
  <c r="Q1005"/>
  <c r="C1006"/>
  <c r="D1006"/>
  <c r="M1006"/>
  <c r="N1006"/>
  <c r="O1006"/>
  <c r="Q1006"/>
  <c r="C1007"/>
  <c r="D1007"/>
  <c r="M1007"/>
  <c r="N1007"/>
  <c r="O1007"/>
  <c r="Q1007"/>
  <c r="C1008"/>
  <c r="D1008"/>
  <c r="M1008"/>
  <c r="N1008"/>
  <c r="O1008"/>
  <c r="Q1008"/>
  <c r="C1009"/>
  <c r="D1009"/>
  <c r="M1009"/>
  <c r="N1009"/>
  <c r="O1009"/>
  <c r="Q1009"/>
  <c r="C1010"/>
  <c r="D1010"/>
  <c r="M1010"/>
  <c r="N1010"/>
  <c r="O1010"/>
  <c r="Q1010"/>
  <c r="C1011"/>
  <c r="D1011"/>
  <c r="M1011"/>
  <c r="N1011"/>
  <c r="O1011"/>
  <c r="Q1011"/>
  <c r="C1012"/>
  <c r="D1012"/>
  <c r="M1012"/>
  <c r="N1012"/>
  <c r="O1012"/>
  <c r="Q1012"/>
  <c r="C1013"/>
  <c r="D1013"/>
  <c r="M1013"/>
  <c r="N1013"/>
  <c r="O1013"/>
  <c r="Q1013"/>
  <c r="C1014"/>
  <c r="D1014"/>
  <c r="M1014"/>
  <c r="N1014"/>
  <c r="O1014"/>
  <c r="Q1014"/>
  <c r="C1015"/>
  <c r="D1015"/>
  <c r="M1015"/>
  <c r="N1015"/>
  <c r="O1015"/>
  <c r="Q1015"/>
  <c r="C1016"/>
  <c r="D1016"/>
  <c r="M1016"/>
  <c r="N1016"/>
  <c r="O1016"/>
  <c r="Q1016"/>
  <c r="C1017"/>
  <c r="D1017"/>
  <c r="M1017"/>
  <c r="N1017"/>
  <c r="O1017"/>
  <c r="Q1017"/>
  <c r="C1018"/>
  <c r="D1018"/>
  <c r="M1018"/>
  <c r="N1018"/>
  <c r="O1018"/>
  <c r="Q1018"/>
  <c r="C1019"/>
  <c r="D1019"/>
  <c r="M1019"/>
  <c r="N1019"/>
  <c r="O1019"/>
  <c r="Q1019"/>
  <c r="C1020"/>
  <c r="D1020"/>
  <c r="M1020"/>
  <c r="N1020"/>
  <c r="O1020"/>
  <c r="Q1020"/>
  <c r="C1021"/>
  <c r="D1021"/>
  <c r="M1021"/>
  <c r="N1021"/>
  <c r="O1021"/>
  <c r="Q1021"/>
  <c r="C1022"/>
  <c r="D1022"/>
  <c r="M1022"/>
  <c r="N1022"/>
  <c r="O1022"/>
  <c r="Q1022"/>
  <c r="C1023"/>
  <c r="D1023"/>
  <c r="M1023"/>
  <c r="N1023"/>
  <c r="O1023"/>
  <c r="Q1023"/>
  <c r="C1024"/>
  <c r="D1024"/>
  <c r="M1024"/>
  <c r="N1024"/>
  <c r="O1024"/>
  <c r="Q1024"/>
  <c r="C1025"/>
  <c r="D1025"/>
  <c r="M1025"/>
  <c r="N1025"/>
  <c r="O1025"/>
  <c r="Q1025"/>
  <c r="C1026"/>
  <c r="D1026"/>
  <c r="M1026"/>
  <c r="N1026"/>
  <c r="O1026"/>
  <c r="Q1026"/>
  <c r="C1027"/>
  <c r="D1027"/>
  <c r="M1027"/>
  <c r="N1027"/>
  <c r="O1027"/>
  <c r="Q1027"/>
  <c r="C1028"/>
  <c r="D1028"/>
  <c r="M1028"/>
  <c r="N1028"/>
  <c r="O1028"/>
  <c r="Q1028"/>
  <c r="C1029"/>
  <c r="D1029"/>
  <c r="M1029"/>
  <c r="N1029"/>
  <c r="O1029"/>
  <c r="Q1029"/>
  <c r="C1030"/>
  <c r="D1030"/>
  <c r="M1030"/>
  <c r="N1030"/>
  <c r="O1030"/>
  <c r="Q1030"/>
  <c r="C1031"/>
  <c r="D1031"/>
  <c r="M1031"/>
  <c r="N1031"/>
  <c r="O1031"/>
  <c r="Q1031"/>
  <c r="C1032"/>
  <c r="D1032"/>
  <c r="M1032"/>
  <c r="N1032"/>
  <c r="O1032"/>
  <c r="Q1032"/>
  <c r="C1033"/>
  <c r="D1033"/>
  <c r="M1033"/>
  <c r="N1033"/>
  <c r="O1033"/>
  <c r="Q1033"/>
  <c r="C1034"/>
  <c r="D1034"/>
  <c r="M1034"/>
  <c r="N1034"/>
  <c r="O1034"/>
  <c r="Q1034"/>
  <c r="C1035"/>
  <c r="D1035"/>
  <c r="M1035"/>
  <c r="N1035"/>
  <c r="O1035"/>
  <c r="Q1035"/>
  <c r="C1036"/>
  <c r="D1036"/>
  <c r="M1036"/>
  <c r="N1036"/>
  <c r="O1036"/>
  <c r="Q1036"/>
  <c r="C1037"/>
  <c r="D1037"/>
  <c r="M1037"/>
  <c r="N1037"/>
  <c r="O1037"/>
  <c r="Q1037"/>
  <c r="C1038"/>
  <c r="D1038"/>
  <c r="M1038"/>
  <c r="N1038"/>
  <c r="O1038"/>
  <c r="Q1038"/>
  <c r="C1039"/>
  <c r="D1039"/>
  <c r="M1039"/>
  <c r="N1039"/>
  <c r="O1039"/>
  <c r="Q1039"/>
  <c r="C1040"/>
  <c r="D1040"/>
  <c r="M1040"/>
  <c r="N1040"/>
  <c r="O1040"/>
  <c r="Q1040"/>
  <c r="C1041"/>
  <c r="D1041"/>
  <c r="M1041"/>
  <c r="N1041"/>
  <c r="O1041"/>
  <c r="Q1041"/>
  <c r="C1042"/>
  <c r="D1042"/>
  <c r="M1042"/>
  <c r="N1042"/>
  <c r="O1042"/>
  <c r="Q1042"/>
  <c r="C1043"/>
  <c r="D1043"/>
  <c r="M1043"/>
  <c r="N1043"/>
  <c r="O1043"/>
  <c r="Q1043"/>
  <c r="C1044"/>
  <c r="D1044"/>
  <c r="M1044"/>
  <c r="N1044"/>
  <c r="O1044"/>
  <c r="Q1044"/>
  <c r="C1045"/>
  <c r="D1045"/>
  <c r="M1045"/>
  <c r="N1045"/>
  <c r="O1045"/>
  <c r="Q1045"/>
  <c r="C1046"/>
  <c r="D1046"/>
  <c r="M1046"/>
  <c r="N1046"/>
  <c r="O1046"/>
  <c r="Q1046"/>
  <c r="C1047"/>
  <c r="D1047"/>
  <c r="M1047"/>
  <c r="N1047"/>
  <c r="O1047"/>
  <c r="Q1047"/>
  <c r="C1048"/>
  <c r="D1048"/>
  <c r="M1048"/>
  <c r="N1048"/>
  <c r="O1048"/>
  <c r="Q1048"/>
  <c r="C1049"/>
  <c r="D1049"/>
  <c r="M1049"/>
  <c r="N1049"/>
  <c r="O1049"/>
  <c r="Q1049"/>
  <c r="C1050"/>
  <c r="D1050"/>
  <c r="M1050"/>
  <c r="N1050"/>
  <c r="O1050"/>
  <c r="Q1050"/>
  <c r="C1051"/>
  <c r="D1051"/>
  <c r="M1051"/>
  <c r="N1051"/>
  <c r="O1051"/>
  <c r="Q1051"/>
  <c r="C1052"/>
  <c r="D1052"/>
  <c r="M1052"/>
  <c r="N1052"/>
  <c r="O1052"/>
  <c r="Q1052"/>
  <c r="C1053"/>
  <c r="D1053"/>
  <c r="M1053"/>
  <c r="N1053"/>
  <c r="O1053"/>
  <c r="Q1053"/>
  <c r="C1054"/>
  <c r="D1054"/>
  <c r="M1054"/>
  <c r="N1054"/>
  <c r="O1054"/>
  <c r="Q1054"/>
  <c r="C1055"/>
  <c r="D1055"/>
  <c r="M1055"/>
  <c r="N1055"/>
  <c r="O1055"/>
  <c r="Q1055"/>
  <c r="C1056"/>
  <c r="D1056"/>
  <c r="M1056"/>
  <c r="N1056"/>
  <c r="O1056"/>
  <c r="Q1056"/>
  <c r="C1057"/>
  <c r="D1057"/>
  <c r="M1057"/>
  <c r="N1057"/>
  <c r="O1057"/>
  <c r="Q1057"/>
  <c r="C1058"/>
  <c r="D1058"/>
  <c r="M1058"/>
  <c r="N1058"/>
  <c r="O1058"/>
  <c r="Q1058"/>
  <c r="C1059"/>
  <c r="D1059"/>
  <c r="M1059"/>
  <c r="N1059"/>
  <c r="O1059"/>
  <c r="Q1059"/>
  <c r="C1060"/>
  <c r="D1060"/>
  <c r="M1060"/>
  <c r="N1060"/>
  <c r="O1060"/>
  <c r="Q1060"/>
  <c r="C1061"/>
  <c r="D1061"/>
  <c r="M1061"/>
  <c r="N1061"/>
  <c r="O1061"/>
  <c r="Q1061"/>
  <c r="C1062"/>
  <c r="D1062"/>
  <c r="M1062"/>
  <c r="N1062"/>
  <c r="O1062"/>
  <c r="Q1062"/>
  <c r="C1063"/>
  <c r="D1063"/>
  <c r="M1063"/>
  <c r="N1063"/>
  <c r="O1063"/>
  <c r="Q1063"/>
  <c r="C1064"/>
  <c r="D1064"/>
  <c r="M1064"/>
  <c r="N1064"/>
  <c r="O1064"/>
  <c r="Q1064"/>
  <c r="C1065"/>
  <c r="D1065"/>
  <c r="M1065"/>
  <c r="N1065"/>
  <c r="O1065"/>
  <c r="Q1065"/>
  <c r="C1066"/>
  <c r="D1066"/>
  <c r="M1066"/>
  <c r="N1066"/>
  <c r="O1066"/>
  <c r="Q1066"/>
  <c r="C1067"/>
  <c r="D1067"/>
  <c r="M1067"/>
  <c r="N1067"/>
  <c r="O1067"/>
  <c r="Q1067"/>
  <c r="C1068"/>
  <c r="D1068"/>
  <c r="M1068"/>
  <c r="N1068"/>
  <c r="O1068"/>
  <c r="Q1068"/>
  <c r="C1069"/>
  <c r="D1069"/>
  <c r="M1069"/>
  <c r="N1069"/>
  <c r="O1069"/>
  <c r="Q1069"/>
  <c r="C1070"/>
  <c r="D1070"/>
  <c r="M1070"/>
  <c r="N1070"/>
  <c r="O1070"/>
  <c r="Q1070"/>
  <c r="C1071"/>
  <c r="D1071"/>
  <c r="M1071"/>
  <c r="N1071"/>
  <c r="O1071"/>
  <c r="Q1071"/>
  <c r="C1072"/>
  <c r="D1072"/>
  <c r="M1072"/>
  <c r="N1072"/>
  <c r="O1072"/>
  <c r="Q1072"/>
  <c r="C1073"/>
  <c r="D1073"/>
  <c r="M1073"/>
  <c r="N1073"/>
  <c r="O1073"/>
  <c r="Q1073"/>
  <c r="C1074"/>
  <c r="D1074"/>
  <c r="M1074"/>
  <c r="N1074"/>
  <c r="O1074"/>
  <c r="Q1074"/>
  <c r="C1075"/>
  <c r="D1075"/>
  <c r="M1075"/>
  <c r="N1075"/>
  <c r="O1075"/>
  <c r="Q1075"/>
  <c r="C1076"/>
  <c r="D1076"/>
  <c r="M1076"/>
  <c r="N1076"/>
  <c r="O1076"/>
  <c r="Q1076"/>
  <c r="C1077"/>
  <c r="D1077"/>
  <c r="M1077"/>
  <c r="N1077"/>
  <c r="O1077"/>
  <c r="Q1077"/>
  <c r="C1078"/>
  <c r="D1078"/>
  <c r="M1078"/>
  <c r="N1078"/>
  <c r="O1078"/>
  <c r="Q1078"/>
  <c r="C1079"/>
  <c r="D1079"/>
  <c r="M1079"/>
  <c r="N1079"/>
  <c r="O1079"/>
  <c r="Q1079"/>
  <c r="C1080"/>
  <c r="D1080"/>
  <c r="M1080"/>
  <c r="N1080"/>
  <c r="O1080"/>
  <c r="Q1080"/>
  <c r="C1081"/>
  <c r="D1081"/>
  <c r="M1081"/>
  <c r="N1081"/>
  <c r="O1081"/>
  <c r="Q1081"/>
  <c r="C1082"/>
  <c r="D1082"/>
  <c r="M1082"/>
  <c r="N1082"/>
  <c r="O1082"/>
  <c r="Q1082"/>
  <c r="C1083"/>
  <c r="D1083"/>
  <c r="M1083"/>
  <c r="N1083"/>
  <c r="O1083"/>
  <c r="Q1083"/>
  <c r="C1084"/>
  <c r="D1084"/>
  <c r="M1084"/>
  <c r="N1084"/>
  <c r="O1084"/>
  <c r="Q1084"/>
  <c r="C1085"/>
  <c r="D1085"/>
  <c r="M1085"/>
  <c r="N1085"/>
  <c r="O1085"/>
  <c r="Q1085"/>
  <c r="C1086"/>
  <c r="D1086"/>
  <c r="M1086"/>
  <c r="N1086"/>
  <c r="O1086"/>
  <c r="Q1086"/>
  <c r="C1087"/>
  <c r="D1087"/>
  <c r="M1087"/>
  <c r="N1087"/>
  <c r="O1087"/>
  <c r="Q1087"/>
  <c r="C1088"/>
  <c r="D1088"/>
  <c r="M1088"/>
  <c r="N1088"/>
  <c r="O1088"/>
  <c r="Q1088"/>
  <c r="C1089"/>
  <c r="D1089"/>
  <c r="M1089"/>
  <c r="N1089"/>
  <c r="O1089"/>
  <c r="Q1089"/>
  <c r="C1090"/>
  <c r="D1090"/>
  <c r="M1090"/>
  <c r="N1090"/>
  <c r="O1090"/>
  <c r="Q1090"/>
  <c r="C1091"/>
  <c r="D1091"/>
  <c r="M1091"/>
  <c r="N1091"/>
  <c r="O1091"/>
  <c r="Q1091"/>
  <c r="C1092"/>
  <c r="D1092"/>
  <c r="M1092"/>
  <c r="N1092"/>
  <c r="O1092"/>
  <c r="Q1092"/>
  <c r="C1093"/>
  <c r="D1093"/>
  <c r="M1093"/>
  <c r="N1093"/>
  <c r="O1093"/>
  <c r="Q1093"/>
  <c r="C1094"/>
  <c r="D1094"/>
  <c r="M1094"/>
  <c r="N1094"/>
  <c r="O1094"/>
  <c r="Q1094"/>
  <c r="C1095"/>
  <c r="D1095"/>
  <c r="M1095"/>
  <c r="N1095"/>
  <c r="O1095"/>
  <c r="Q1095"/>
  <c r="C1096"/>
  <c r="D1096"/>
  <c r="M1096"/>
  <c r="N1096"/>
  <c r="O1096"/>
  <c r="Q1096"/>
  <c r="C1097"/>
  <c r="D1097"/>
  <c r="M1097"/>
  <c r="N1097"/>
  <c r="O1097"/>
  <c r="Q1097"/>
  <c r="C1098"/>
  <c r="D1098"/>
  <c r="M1098"/>
  <c r="N1098"/>
  <c r="O1098"/>
  <c r="Q1098"/>
  <c r="C1099"/>
  <c r="D1099"/>
  <c r="M1099"/>
  <c r="N1099"/>
  <c r="O1099"/>
  <c r="Q1099"/>
  <c r="C1100"/>
  <c r="D1100"/>
  <c r="M1100"/>
  <c r="N1100"/>
  <c r="O1100"/>
  <c r="Q1100"/>
  <c r="C1101"/>
  <c r="D1101"/>
  <c r="M1101"/>
  <c r="N1101"/>
  <c r="O1101"/>
  <c r="Q1101"/>
  <c r="C1102"/>
  <c r="D1102"/>
  <c r="M1102"/>
  <c r="N1102"/>
  <c r="O1102"/>
  <c r="Q1102"/>
  <c r="C1103"/>
  <c r="D1103"/>
  <c r="M1103"/>
  <c r="N1103"/>
  <c r="O1103"/>
  <c r="Q1103"/>
  <c r="C1104"/>
  <c r="D1104"/>
  <c r="M1104"/>
  <c r="N1104"/>
  <c r="O1104"/>
  <c r="Q1104"/>
  <c r="C1105"/>
  <c r="D1105"/>
  <c r="M1105"/>
  <c r="N1105"/>
  <c r="O1105"/>
  <c r="Q1105"/>
  <c r="C1106"/>
  <c r="D1106"/>
  <c r="M1106"/>
  <c r="N1106"/>
  <c r="O1106"/>
  <c r="Q1106"/>
  <c r="C1107"/>
  <c r="D1107"/>
  <c r="M1107"/>
  <c r="N1107"/>
  <c r="O1107"/>
  <c r="Q1107"/>
  <c r="C1108"/>
  <c r="D1108"/>
  <c r="M1108"/>
  <c r="N1108"/>
  <c r="O1108"/>
  <c r="Q1108"/>
  <c r="C1109"/>
  <c r="D1109"/>
  <c r="M1109"/>
  <c r="N1109"/>
  <c r="O1109"/>
  <c r="Q1109"/>
  <c r="C1110"/>
  <c r="D1110"/>
  <c r="M1110"/>
  <c r="N1110"/>
  <c r="O1110"/>
  <c r="Q1110"/>
  <c r="C1111"/>
  <c r="D1111"/>
  <c r="M1111"/>
  <c r="N1111"/>
  <c r="O1111"/>
  <c r="Q1111"/>
  <c r="C1112"/>
  <c r="D1112"/>
  <c r="M1112"/>
  <c r="N1112"/>
  <c r="O1112"/>
  <c r="Q1112"/>
  <c r="C1113"/>
  <c r="D1113"/>
  <c r="M1113"/>
  <c r="N1113"/>
  <c r="O1113"/>
  <c r="Q1113"/>
  <c r="C1114"/>
  <c r="D1114"/>
  <c r="M1114"/>
  <c r="N1114"/>
  <c r="O1114"/>
  <c r="Q1114"/>
  <c r="C1115"/>
  <c r="D1115"/>
  <c r="M1115"/>
  <c r="N1115"/>
  <c r="O1115"/>
  <c r="Q1115"/>
  <c r="C1116"/>
  <c r="D1116"/>
  <c r="M1116"/>
  <c r="N1116"/>
  <c r="O1116"/>
  <c r="Q1116"/>
  <c r="C1117"/>
  <c r="D1117"/>
  <c r="M1117"/>
  <c r="N1117"/>
  <c r="O1117"/>
  <c r="Q1117"/>
  <c r="C1118"/>
  <c r="D1118"/>
  <c r="M1118"/>
  <c r="N1118"/>
  <c r="O1118"/>
  <c r="Q1118"/>
  <c r="C1119"/>
  <c r="D1119"/>
  <c r="M1119"/>
  <c r="N1119"/>
  <c r="O1119"/>
  <c r="Q1119"/>
  <c r="C1120"/>
  <c r="D1120"/>
  <c r="M1120"/>
  <c r="N1120"/>
  <c r="O1120"/>
  <c r="Q1120"/>
  <c r="C1121"/>
  <c r="D1121"/>
  <c r="M1121"/>
  <c r="N1121"/>
  <c r="O1121"/>
  <c r="Q1121"/>
  <c r="C1122"/>
  <c r="D1122"/>
  <c r="M1122"/>
  <c r="N1122"/>
  <c r="O1122"/>
  <c r="Q1122"/>
  <c r="C1123"/>
  <c r="D1123"/>
  <c r="M1123"/>
  <c r="N1123"/>
  <c r="O1123"/>
  <c r="Q1123"/>
  <c r="C1124"/>
  <c r="D1124"/>
  <c r="M1124"/>
  <c r="N1124"/>
  <c r="O1124"/>
  <c r="Q1124"/>
  <c r="C1125"/>
  <c r="D1125"/>
  <c r="M1125"/>
  <c r="N1125"/>
  <c r="O1125"/>
  <c r="Q1125"/>
  <c r="C1126"/>
  <c r="D1126"/>
  <c r="M1126"/>
  <c r="N1126"/>
  <c r="O1126"/>
  <c r="Q1126"/>
  <c r="C1127"/>
  <c r="D1127"/>
  <c r="M1127"/>
  <c r="N1127"/>
  <c r="O1127"/>
  <c r="Q1127"/>
  <c r="C1128"/>
  <c r="D1128"/>
  <c r="M1128"/>
  <c r="N1128"/>
  <c r="O1128"/>
  <c r="Q1128"/>
  <c r="C1129"/>
  <c r="D1129"/>
  <c r="M1129"/>
  <c r="N1129"/>
  <c r="O1129"/>
  <c r="Q1129"/>
  <c r="C1130"/>
  <c r="D1130"/>
  <c r="M1130"/>
  <c r="N1130"/>
  <c r="O1130"/>
  <c r="Q1130"/>
  <c r="C1131"/>
  <c r="D1131"/>
  <c r="M1131"/>
  <c r="N1131"/>
  <c r="O1131"/>
  <c r="Q1131"/>
  <c r="C1132"/>
  <c r="D1132"/>
  <c r="M1132"/>
  <c r="N1132"/>
  <c r="O1132"/>
  <c r="Q1132"/>
  <c r="C1133"/>
  <c r="D1133"/>
  <c r="M1133"/>
  <c r="N1133"/>
  <c r="O1133"/>
  <c r="Q1133"/>
  <c r="C1134"/>
  <c r="D1134"/>
  <c r="M1134"/>
  <c r="N1134"/>
  <c r="O1134"/>
  <c r="Q1134"/>
  <c r="C1135"/>
  <c r="D1135"/>
  <c r="M1135"/>
  <c r="N1135"/>
  <c r="O1135"/>
  <c r="Q1135"/>
  <c r="C1136"/>
  <c r="D1136"/>
  <c r="M1136"/>
  <c r="N1136"/>
  <c r="O1136"/>
  <c r="Q1136"/>
  <c r="C1137"/>
  <c r="D1137"/>
  <c r="M1137"/>
  <c r="N1137"/>
  <c r="O1137"/>
  <c r="Q1137"/>
  <c r="C1138"/>
  <c r="D1138"/>
  <c r="M1138"/>
  <c r="N1138"/>
  <c r="O1138"/>
  <c r="Q1138"/>
  <c r="C1139"/>
  <c r="D1139"/>
  <c r="M1139"/>
  <c r="N1139"/>
  <c r="O1139"/>
  <c r="Q1139"/>
  <c r="C1140"/>
  <c r="D1140"/>
  <c r="M1140"/>
  <c r="N1140"/>
  <c r="O1140"/>
  <c r="Q1140"/>
  <c r="C1141"/>
  <c r="D1141"/>
  <c r="M1141"/>
  <c r="N1141"/>
  <c r="O1141"/>
  <c r="Q1141"/>
  <c r="C1142"/>
  <c r="D1142"/>
  <c r="M1142"/>
  <c r="N1142"/>
  <c r="O1142"/>
  <c r="Q1142"/>
  <c r="C1143"/>
  <c r="D1143"/>
  <c r="M1143"/>
  <c r="N1143"/>
  <c r="O1143"/>
  <c r="Q1143"/>
  <c r="C1144"/>
  <c r="D1144"/>
  <c r="M1144"/>
  <c r="N1144"/>
  <c r="O1144"/>
  <c r="Q1144"/>
  <c r="C1145"/>
  <c r="D1145"/>
  <c r="M1145"/>
  <c r="N1145"/>
  <c r="O1145"/>
  <c r="Q1145"/>
  <c r="C1146"/>
  <c r="D1146"/>
  <c r="M1146"/>
  <c r="N1146"/>
  <c r="O1146"/>
  <c r="Q1146"/>
  <c r="C1147"/>
  <c r="D1147"/>
  <c r="M1147"/>
  <c r="N1147"/>
  <c r="O1147"/>
  <c r="Q1147"/>
  <c r="C1148"/>
  <c r="D1148"/>
  <c r="M1148"/>
  <c r="N1148"/>
  <c r="O1148"/>
  <c r="Q1148"/>
  <c r="C1149"/>
  <c r="D1149"/>
  <c r="M1149"/>
  <c r="N1149"/>
  <c r="O1149"/>
  <c r="Q1149"/>
  <c r="C1150"/>
  <c r="D1150"/>
  <c r="M1150"/>
  <c r="N1150"/>
  <c r="O1150"/>
  <c r="Q1150"/>
  <c r="C1151"/>
  <c r="D1151"/>
  <c r="M1151"/>
  <c r="N1151"/>
  <c r="O1151"/>
  <c r="Q1151"/>
  <c r="C1152"/>
  <c r="D1152"/>
  <c r="M1152"/>
  <c r="N1152"/>
  <c r="O1152"/>
  <c r="Q1152"/>
  <c r="C1153"/>
  <c r="D1153"/>
  <c r="M1153"/>
  <c r="N1153"/>
  <c r="O1153"/>
  <c r="Q1153"/>
  <c r="C1154"/>
  <c r="D1154"/>
  <c r="M1154"/>
  <c r="N1154"/>
  <c r="O1154"/>
  <c r="Q1154"/>
  <c r="C1155"/>
  <c r="D1155"/>
  <c r="M1155"/>
  <c r="N1155"/>
  <c r="O1155"/>
  <c r="Q1155"/>
  <c r="C1156"/>
  <c r="D1156"/>
  <c r="M1156"/>
  <c r="N1156"/>
  <c r="O1156"/>
  <c r="Q1156"/>
  <c r="C1157"/>
  <c r="D1157"/>
  <c r="M1157"/>
  <c r="N1157"/>
  <c r="O1157"/>
  <c r="Q1157"/>
  <c r="C1158"/>
  <c r="D1158"/>
  <c r="M1158"/>
  <c r="N1158"/>
  <c r="O1158"/>
  <c r="Q1158"/>
  <c r="C1159"/>
  <c r="D1159"/>
  <c r="M1159"/>
  <c r="N1159"/>
  <c r="O1159"/>
  <c r="Q1159"/>
  <c r="C1160"/>
  <c r="D1160"/>
  <c r="M1160"/>
  <c r="N1160"/>
  <c r="O1160"/>
  <c r="Q1160"/>
  <c r="C1161"/>
  <c r="D1161"/>
  <c r="M1161"/>
  <c r="N1161"/>
  <c r="O1161"/>
  <c r="Q1161"/>
  <c r="C1162"/>
  <c r="D1162"/>
  <c r="M1162"/>
  <c r="N1162"/>
  <c r="O1162"/>
  <c r="Q1162"/>
  <c r="C1163"/>
  <c r="D1163"/>
  <c r="M1163"/>
  <c r="N1163"/>
  <c r="O1163"/>
  <c r="Q1163"/>
  <c r="C1164"/>
  <c r="D1164"/>
  <c r="M1164"/>
  <c r="N1164"/>
  <c r="O1164"/>
  <c r="Q1164"/>
  <c r="C1165"/>
  <c r="D1165"/>
  <c r="M1165"/>
  <c r="N1165"/>
  <c r="O1165"/>
  <c r="Q1165"/>
  <c r="C1166"/>
  <c r="D1166"/>
  <c r="M1166"/>
  <c r="N1166"/>
  <c r="O1166"/>
  <c r="Q1166"/>
  <c r="C1167"/>
  <c r="D1167"/>
  <c r="M1167"/>
  <c r="N1167"/>
  <c r="O1167"/>
  <c r="Q1167"/>
  <c r="C1168"/>
  <c r="D1168"/>
  <c r="M1168"/>
  <c r="N1168"/>
  <c r="O1168"/>
  <c r="Q1168"/>
  <c r="C1169"/>
  <c r="D1169"/>
  <c r="M1169"/>
  <c r="N1169"/>
  <c r="O1169"/>
  <c r="Q1169"/>
  <c r="C1170"/>
  <c r="D1170"/>
  <c r="M1170"/>
  <c r="N1170"/>
  <c r="O1170"/>
  <c r="Q1170"/>
  <c r="C1171"/>
  <c r="D1171"/>
  <c r="M1171"/>
  <c r="N1171"/>
  <c r="O1171"/>
  <c r="Q1171"/>
  <c r="C1172"/>
  <c r="D1172"/>
  <c r="M1172"/>
  <c r="N1172"/>
  <c r="O1172"/>
  <c r="Q1172"/>
  <c r="C1173"/>
  <c r="D1173"/>
  <c r="M1173"/>
  <c r="N1173"/>
  <c r="O1173"/>
  <c r="Q1173"/>
  <c r="C1174"/>
  <c r="D1174"/>
  <c r="M1174"/>
  <c r="N1174"/>
  <c r="O1174"/>
  <c r="Q1174"/>
  <c r="C1175"/>
  <c r="D1175"/>
  <c r="M1175"/>
  <c r="N1175"/>
  <c r="O1175"/>
  <c r="Q1175"/>
  <c r="C1176"/>
  <c r="D1176"/>
  <c r="M1176"/>
  <c r="N1176"/>
  <c r="O1176"/>
  <c r="Q1176"/>
  <c r="C1177"/>
  <c r="D1177"/>
  <c r="M1177"/>
  <c r="N1177"/>
  <c r="O1177"/>
  <c r="Q1177"/>
  <c r="C1178"/>
  <c r="D1178"/>
  <c r="M1178"/>
  <c r="N1178"/>
  <c r="O1178"/>
  <c r="Q1178"/>
  <c r="C1179"/>
  <c r="D1179"/>
  <c r="M1179"/>
  <c r="N1179"/>
  <c r="O1179"/>
  <c r="Q1179"/>
  <c r="C1180"/>
  <c r="D1180"/>
  <c r="M1180"/>
  <c r="N1180"/>
  <c r="O1180"/>
  <c r="Q1180"/>
  <c r="C1181"/>
  <c r="D1181"/>
  <c r="M1181"/>
  <c r="N1181"/>
  <c r="O1181"/>
  <c r="Q1181"/>
  <c r="C1182"/>
  <c r="D1182"/>
  <c r="M1182"/>
  <c r="N1182"/>
  <c r="O1182"/>
  <c r="Q1182"/>
  <c r="C1183"/>
  <c r="D1183"/>
  <c r="M1183"/>
  <c r="N1183"/>
  <c r="O1183"/>
  <c r="Q1183"/>
  <c r="C1184"/>
  <c r="D1184"/>
  <c r="M1184"/>
  <c r="N1184"/>
  <c r="O1184"/>
  <c r="Q1184"/>
  <c r="C1185"/>
  <c r="D1185"/>
  <c r="M1185"/>
  <c r="N1185"/>
  <c r="O1185"/>
  <c r="Q1185"/>
  <c r="C1186"/>
  <c r="D1186"/>
  <c r="M1186"/>
  <c r="N1186"/>
  <c r="O1186"/>
  <c r="Q1186"/>
  <c r="C1187"/>
  <c r="D1187"/>
  <c r="M1187"/>
  <c r="N1187"/>
  <c r="O1187"/>
  <c r="Q1187"/>
  <c r="C1188"/>
  <c r="D1188"/>
  <c r="M1188"/>
  <c r="N1188"/>
  <c r="O1188"/>
  <c r="Q1188"/>
  <c r="C1189"/>
  <c r="D1189"/>
  <c r="M1189"/>
  <c r="N1189"/>
  <c r="O1189"/>
  <c r="Q1189"/>
  <c r="C1190"/>
  <c r="D1190"/>
  <c r="M1190"/>
  <c r="N1190"/>
  <c r="O1190"/>
  <c r="Q1190"/>
  <c r="C1191"/>
  <c r="D1191"/>
  <c r="M1191"/>
  <c r="N1191"/>
  <c r="O1191"/>
  <c r="Q1191"/>
  <c r="C1192"/>
  <c r="D1192"/>
  <c r="M1192"/>
  <c r="N1192"/>
  <c r="O1192"/>
  <c r="Q1192"/>
  <c r="C1193"/>
  <c r="D1193"/>
  <c r="M1193"/>
  <c r="N1193"/>
  <c r="O1193"/>
  <c r="Q1193"/>
  <c r="C1194"/>
  <c r="D1194"/>
  <c r="M1194"/>
  <c r="N1194"/>
  <c r="O1194"/>
  <c r="Q1194"/>
  <c r="C1195"/>
  <c r="D1195"/>
  <c r="M1195"/>
  <c r="N1195"/>
  <c r="O1195"/>
  <c r="Q1195"/>
  <c r="C1196"/>
  <c r="D1196"/>
  <c r="M1196"/>
  <c r="N1196"/>
  <c r="O1196"/>
  <c r="Q1196"/>
  <c r="C1197"/>
  <c r="D1197"/>
  <c r="M1197"/>
  <c r="N1197"/>
  <c r="O1197"/>
  <c r="Q1197"/>
  <c r="C1198"/>
  <c r="D1198"/>
  <c r="M1198"/>
  <c r="N1198"/>
  <c r="O1198"/>
  <c r="Q1198"/>
  <c r="C1199"/>
  <c r="D1199"/>
  <c r="M1199"/>
  <c r="N1199"/>
  <c r="O1199"/>
  <c r="Q1199"/>
  <c r="C1200"/>
  <c r="D1200"/>
  <c r="M1200"/>
  <c r="N1200"/>
  <c r="O1200"/>
  <c r="Q1200"/>
  <c r="C1201"/>
  <c r="D1201"/>
  <c r="M1201"/>
  <c r="N1201"/>
  <c r="O1201"/>
  <c r="Q1201"/>
  <c r="C1202"/>
  <c r="D1202"/>
  <c r="M1202"/>
  <c r="N1202"/>
  <c r="O1202"/>
  <c r="Q1202"/>
  <c r="C1203"/>
  <c r="D1203"/>
  <c r="M1203"/>
  <c r="N1203"/>
  <c r="O1203"/>
  <c r="Q1203"/>
  <c r="C1204"/>
  <c r="D1204"/>
  <c r="M1204"/>
  <c r="N1204"/>
  <c r="O1204"/>
  <c r="Q1204"/>
  <c r="C1205"/>
  <c r="D1205"/>
  <c r="M1205"/>
  <c r="N1205"/>
  <c r="O1205"/>
  <c r="Q1205"/>
  <c r="C1206"/>
  <c r="D1206"/>
  <c r="M1206"/>
  <c r="N1206"/>
  <c r="O1206"/>
  <c r="Q1206"/>
  <c r="C1207"/>
  <c r="D1207"/>
  <c r="M1207"/>
  <c r="N1207"/>
  <c r="O1207"/>
  <c r="Q1207"/>
  <c r="C1208"/>
  <c r="D1208"/>
  <c r="M1208"/>
  <c r="N1208"/>
  <c r="O1208"/>
  <c r="Q1208"/>
  <c r="C1209"/>
  <c r="D1209"/>
  <c r="M1209"/>
  <c r="N1209"/>
  <c r="O1209"/>
  <c r="Q1209"/>
  <c r="C1210"/>
  <c r="D1210"/>
  <c r="M1210"/>
  <c r="N1210"/>
  <c r="O1210"/>
  <c r="Q1210"/>
  <c r="C1211"/>
  <c r="D1211"/>
  <c r="M1211"/>
  <c r="N1211"/>
  <c r="O1211"/>
  <c r="Q1211"/>
  <c r="C1212"/>
  <c r="D1212"/>
  <c r="M1212"/>
  <c r="N1212"/>
  <c r="O1212"/>
  <c r="Q1212"/>
  <c r="C1213"/>
  <c r="D1213"/>
  <c r="M1213"/>
  <c r="N1213"/>
  <c r="O1213"/>
  <c r="Q1213"/>
  <c r="C1214"/>
  <c r="D1214"/>
  <c r="M1214"/>
  <c r="N1214"/>
  <c r="O1214"/>
  <c r="Q1214"/>
  <c r="C1215"/>
  <c r="D1215"/>
  <c r="M1215"/>
  <c r="N1215"/>
  <c r="O1215"/>
  <c r="Q1215"/>
  <c r="C1216"/>
  <c r="D1216"/>
  <c r="M1216"/>
  <c r="N1216"/>
  <c r="O1216"/>
  <c r="Q1216"/>
  <c r="C1217"/>
  <c r="D1217"/>
  <c r="M1217"/>
  <c r="N1217"/>
  <c r="O1217"/>
  <c r="Q1217"/>
  <c r="C1218"/>
  <c r="D1218"/>
  <c r="M1218"/>
  <c r="N1218"/>
  <c r="O1218"/>
  <c r="Q1218"/>
  <c r="C1219"/>
  <c r="D1219"/>
  <c r="M1219"/>
  <c r="N1219"/>
  <c r="O1219"/>
  <c r="Q1219"/>
  <c r="C1220"/>
  <c r="D1220"/>
  <c r="M1220"/>
  <c r="N1220"/>
  <c r="O1220"/>
  <c r="Q1220"/>
  <c r="C1221"/>
  <c r="D1221"/>
  <c r="M1221"/>
  <c r="N1221"/>
  <c r="O1221"/>
  <c r="Q1221"/>
  <c r="C1222"/>
  <c r="D1222"/>
  <c r="M1222"/>
  <c r="N1222"/>
  <c r="O1222"/>
  <c r="Q1222"/>
  <c r="C1223"/>
  <c r="D1223"/>
  <c r="M1223"/>
  <c r="N1223"/>
  <c r="O1223"/>
  <c r="Q1223"/>
  <c r="C1224"/>
  <c r="D1224"/>
  <c r="M1224"/>
  <c r="N1224"/>
  <c r="O1224"/>
  <c r="Q1224"/>
  <c r="C1225"/>
  <c r="D1225"/>
  <c r="M1225"/>
  <c r="N1225"/>
  <c r="O1225"/>
  <c r="Q1225"/>
  <c r="C1226"/>
  <c r="D1226"/>
  <c r="M1226"/>
  <c r="N1226"/>
  <c r="O1226"/>
  <c r="Q1226"/>
  <c r="C1227"/>
  <c r="D1227"/>
  <c r="M1227"/>
  <c r="N1227"/>
  <c r="O1227"/>
  <c r="Q1227"/>
  <c r="C1228"/>
  <c r="D1228"/>
  <c r="M1228"/>
  <c r="N1228"/>
  <c r="O1228"/>
  <c r="Q1228"/>
  <c r="C1229"/>
  <c r="D1229"/>
  <c r="M1229"/>
  <c r="N1229"/>
  <c r="O1229"/>
  <c r="Q1229"/>
  <c r="C1230"/>
  <c r="D1230"/>
  <c r="M1230"/>
  <c r="N1230"/>
  <c r="O1230"/>
  <c r="Q1230"/>
  <c r="C1231"/>
  <c r="D1231"/>
  <c r="M1231"/>
  <c r="N1231"/>
  <c r="O1231"/>
  <c r="Q1231"/>
  <c r="C1232"/>
  <c r="D1232"/>
  <c r="M1232"/>
  <c r="N1232"/>
  <c r="O1232"/>
  <c r="Q1232"/>
  <c r="C1233"/>
  <c r="D1233"/>
  <c r="M1233"/>
  <c r="N1233"/>
  <c r="O1233"/>
  <c r="Q1233"/>
  <c r="C1234"/>
  <c r="D1234"/>
  <c r="M1234"/>
  <c r="N1234"/>
  <c r="O1234"/>
  <c r="Q1234"/>
  <c r="C1235"/>
  <c r="D1235"/>
  <c r="M1235"/>
  <c r="N1235"/>
  <c r="O1235"/>
  <c r="Q1235"/>
  <c r="C1236"/>
  <c r="D1236"/>
  <c r="M1236"/>
  <c r="N1236"/>
  <c r="O1236"/>
  <c r="Q1236"/>
  <c r="C1237"/>
  <c r="D1237"/>
  <c r="M1237"/>
  <c r="N1237"/>
  <c r="O1237"/>
  <c r="Q1237"/>
  <c r="C1238"/>
  <c r="D1238"/>
  <c r="M1238"/>
  <c r="N1238"/>
  <c r="O1238"/>
  <c r="Q1238"/>
  <c r="C1239"/>
  <c r="D1239"/>
  <c r="M1239"/>
  <c r="N1239"/>
  <c r="O1239"/>
  <c r="Q1239"/>
  <c r="C1240"/>
  <c r="D1240"/>
  <c r="M1240"/>
  <c r="N1240"/>
  <c r="O1240"/>
  <c r="Q1240"/>
  <c r="C1241"/>
  <c r="D1241"/>
  <c r="M1241"/>
  <c r="N1241"/>
  <c r="O1241"/>
  <c r="Q1241"/>
  <c r="C1242"/>
  <c r="D1242"/>
  <c r="M1242"/>
  <c r="N1242"/>
  <c r="O1242"/>
  <c r="Q1242"/>
  <c r="C1243"/>
  <c r="D1243"/>
  <c r="M1243"/>
  <c r="N1243"/>
  <c r="O1243"/>
  <c r="Q1243"/>
  <c r="C1244"/>
  <c r="D1244"/>
  <c r="M1244"/>
  <c r="N1244"/>
  <c r="O1244"/>
  <c r="Q1244"/>
  <c r="C1245"/>
  <c r="D1245"/>
  <c r="M1245"/>
  <c r="N1245"/>
  <c r="O1245"/>
  <c r="Q1245"/>
  <c r="C1246"/>
  <c r="D1246"/>
  <c r="M1246"/>
  <c r="N1246"/>
  <c r="O1246"/>
  <c r="Q1246"/>
  <c r="C1247"/>
  <c r="D1247"/>
  <c r="M1247"/>
  <c r="N1247"/>
  <c r="O1247"/>
  <c r="Q1247"/>
  <c r="C1248"/>
  <c r="D1248"/>
  <c r="M1248"/>
  <c r="N1248"/>
  <c r="O1248"/>
  <c r="Q1248"/>
  <c r="C1249"/>
  <c r="D1249"/>
  <c r="M1249"/>
  <c r="N1249"/>
  <c r="O1249"/>
  <c r="Q1249"/>
  <c r="C1250"/>
  <c r="D1250"/>
  <c r="M1250"/>
  <c r="N1250"/>
  <c r="O1250"/>
  <c r="Q1250"/>
  <c r="C1251"/>
  <c r="D1251"/>
  <c r="M1251"/>
  <c r="N1251"/>
  <c r="O1251"/>
  <c r="Q1251"/>
  <c r="C1252"/>
  <c r="D1252"/>
  <c r="M1252"/>
  <c r="N1252"/>
  <c r="O1252"/>
  <c r="Q1252"/>
  <c r="C1253"/>
  <c r="D1253"/>
  <c r="M1253"/>
  <c r="N1253"/>
  <c r="O1253"/>
  <c r="Q1253"/>
  <c r="C1254"/>
  <c r="D1254"/>
  <c r="M1254"/>
  <c r="N1254"/>
  <c r="O1254"/>
  <c r="Q1254"/>
  <c r="C1255"/>
  <c r="D1255"/>
  <c r="M1255"/>
  <c r="N1255"/>
  <c r="O1255"/>
  <c r="Q1255"/>
  <c r="C1256"/>
  <c r="D1256"/>
  <c r="M1256"/>
  <c r="N1256"/>
  <c r="O1256"/>
  <c r="Q1256"/>
  <c r="C1257"/>
  <c r="D1257"/>
  <c r="M1257"/>
  <c r="N1257"/>
  <c r="O1257"/>
  <c r="Q1257"/>
  <c r="C1258"/>
  <c r="D1258"/>
  <c r="M1258"/>
  <c r="N1258"/>
  <c r="O1258"/>
  <c r="Q1258"/>
  <c r="C1259"/>
  <c r="D1259"/>
  <c r="M1259"/>
  <c r="N1259"/>
  <c r="O1259"/>
  <c r="Q1259"/>
  <c r="C1260"/>
  <c r="D1260"/>
  <c r="M1260"/>
  <c r="N1260"/>
  <c r="O1260"/>
  <c r="Q1260"/>
  <c r="C1261"/>
  <c r="D1261"/>
  <c r="M1261"/>
  <c r="N1261"/>
  <c r="O1261"/>
  <c r="Q1261"/>
  <c r="C1262"/>
  <c r="D1262"/>
  <c r="M1262"/>
  <c r="N1262"/>
  <c r="O1262"/>
  <c r="Q1262"/>
  <c r="C1263"/>
  <c r="D1263"/>
  <c r="M1263"/>
  <c r="N1263"/>
  <c r="O1263"/>
  <c r="Q1263"/>
  <c r="C1264"/>
  <c r="D1264"/>
  <c r="M1264"/>
  <c r="N1264"/>
  <c r="O1264"/>
  <c r="Q1264"/>
  <c r="C1265"/>
  <c r="D1265"/>
  <c r="M1265"/>
  <c r="N1265"/>
  <c r="O1265"/>
  <c r="Q1265"/>
  <c r="C1266"/>
  <c r="D1266"/>
  <c r="M1266"/>
  <c r="N1266"/>
  <c r="O1266"/>
  <c r="Q1266"/>
  <c r="C1267"/>
  <c r="D1267"/>
  <c r="M1267"/>
  <c r="N1267"/>
  <c r="O1267"/>
  <c r="Q1267"/>
  <c r="C1268"/>
  <c r="D1268"/>
  <c r="M1268"/>
  <c r="N1268"/>
  <c r="O1268"/>
  <c r="Q1268"/>
  <c r="C1269"/>
  <c r="D1269"/>
  <c r="M1269"/>
  <c r="N1269"/>
  <c r="O1269"/>
  <c r="Q1269"/>
  <c r="C1270"/>
  <c r="D1270"/>
  <c r="M1270"/>
  <c r="N1270"/>
  <c r="O1270"/>
  <c r="Q1270"/>
  <c r="C1271"/>
  <c r="D1271"/>
  <c r="M1271"/>
  <c r="N1271"/>
  <c r="O1271"/>
  <c r="Q1271"/>
  <c r="C1272"/>
  <c r="D1272"/>
  <c r="M1272"/>
  <c r="N1272"/>
  <c r="O1272"/>
  <c r="Q1272"/>
  <c r="C1273"/>
  <c r="D1273"/>
  <c r="M1273"/>
  <c r="N1273"/>
  <c r="O1273"/>
  <c r="Q1273"/>
  <c r="C1274"/>
  <c r="D1274"/>
  <c r="M1274"/>
  <c r="N1274"/>
  <c r="O1274"/>
  <c r="Q1274"/>
  <c r="C1275"/>
  <c r="D1275"/>
  <c r="M1275"/>
  <c r="N1275"/>
  <c r="O1275"/>
  <c r="Q1275"/>
  <c r="C1276"/>
  <c r="D1276"/>
  <c r="M1276"/>
  <c r="N1276"/>
  <c r="O1276"/>
  <c r="Q1276"/>
  <c r="C1277"/>
  <c r="D1277"/>
  <c r="M1277"/>
  <c r="N1277"/>
  <c r="O1277"/>
  <c r="Q1277"/>
  <c r="C1278"/>
  <c r="D1278"/>
  <c r="M1278"/>
  <c r="N1278"/>
  <c r="O1278"/>
  <c r="Q1278"/>
  <c r="C1279"/>
  <c r="D1279"/>
  <c r="M1279"/>
  <c r="N1279"/>
  <c r="O1279"/>
  <c r="Q1279"/>
  <c r="C1280"/>
  <c r="D1280"/>
  <c r="M1280"/>
  <c r="N1280"/>
  <c r="O1280"/>
  <c r="Q1280"/>
  <c r="C1281"/>
  <c r="D1281"/>
  <c r="M1281"/>
  <c r="N1281"/>
  <c r="O1281"/>
  <c r="Q1281"/>
  <c r="C1282"/>
  <c r="D1282"/>
  <c r="M1282"/>
  <c r="N1282"/>
  <c r="O1282"/>
  <c r="Q1282"/>
  <c r="C1283"/>
  <c r="D1283"/>
  <c r="M1283"/>
  <c r="N1283"/>
  <c r="O1283"/>
  <c r="Q1283"/>
  <c r="C1284"/>
  <c r="D1284"/>
  <c r="M1284"/>
  <c r="N1284"/>
  <c r="O1284"/>
  <c r="Q1284"/>
  <c r="C1285"/>
  <c r="D1285"/>
  <c r="M1285"/>
  <c r="N1285"/>
  <c r="O1285"/>
  <c r="Q1285"/>
  <c r="C1286"/>
  <c r="D1286"/>
  <c r="M1286"/>
  <c r="N1286"/>
  <c r="O1286"/>
  <c r="Q1286"/>
  <c r="C1287"/>
  <c r="D1287"/>
  <c r="M1287"/>
  <c r="N1287"/>
  <c r="O1287"/>
  <c r="Q1287"/>
  <c r="C1288"/>
  <c r="D1288"/>
  <c r="M1288"/>
  <c r="N1288"/>
  <c r="O1288"/>
  <c r="Q1288"/>
  <c r="C1289"/>
  <c r="D1289"/>
  <c r="M1289"/>
  <c r="N1289"/>
  <c r="O1289"/>
  <c r="Q1289"/>
  <c r="C1290"/>
  <c r="D1290"/>
  <c r="M1290"/>
  <c r="N1290"/>
  <c r="O1290"/>
  <c r="Q1290"/>
  <c r="C1291"/>
  <c r="D1291"/>
  <c r="M1291"/>
  <c r="N1291"/>
  <c r="O1291"/>
  <c r="Q1291"/>
  <c r="C1292"/>
  <c r="D1292"/>
  <c r="M1292"/>
  <c r="N1292"/>
  <c r="O1292"/>
  <c r="Q1292"/>
  <c r="C1293"/>
  <c r="D1293"/>
  <c r="M1293"/>
  <c r="N1293"/>
  <c r="O1293"/>
  <c r="Q1293"/>
  <c r="C1294"/>
  <c r="D1294"/>
  <c r="M1294"/>
  <c r="N1294"/>
  <c r="O1294"/>
  <c r="Q1294"/>
  <c r="C1295"/>
  <c r="D1295"/>
  <c r="M1295"/>
  <c r="N1295"/>
  <c r="O1295"/>
  <c r="Q1295"/>
  <c r="C1296"/>
  <c r="D1296"/>
  <c r="M1296"/>
  <c r="N1296"/>
  <c r="O1296"/>
  <c r="Q1296"/>
  <c r="C1297"/>
  <c r="D1297"/>
  <c r="M1297"/>
  <c r="N1297"/>
  <c r="O1297"/>
  <c r="Q1297"/>
  <c r="C1298"/>
  <c r="D1298"/>
  <c r="M1298"/>
  <c r="N1298"/>
  <c r="O1298"/>
  <c r="Q1298"/>
  <c r="C1299"/>
  <c r="D1299"/>
  <c r="M1299"/>
  <c r="N1299"/>
  <c r="O1299"/>
  <c r="Q1299"/>
  <c r="C1300"/>
  <c r="D1300"/>
  <c r="M1300"/>
  <c r="N1300"/>
  <c r="O1300"/>
  <c r="Q1300"/>
  <c r="C1301"/>
  <c r="D1301"/>
  <c r="M1301"/>
  <c r="N1301"/>
  <c r="O1301"/>
  <c r="Q1301"/>
  <c r="C1302"/>
  <c r="D1302"/>
  <c r="M1302"/>
  <c r="N1302"/>
  <c r="O1302"/>
  <c r="Q1302"/>
  <c r="C1303"/>
  <c r="D1303"/>
  <c r="M1303"/>
  <c r="N1303"/>
  <c r="O1303"/>
  <c r="Q1303"/>
  <c r="C1304"/>
  <c r="D1304"/>
  <c r="M1304"/>
  <c r="N1304"/>
  <c r="O1304"/>
  <c r="Q1304"/>
  <c r="C1305"/>
  <c r="D1305"/>
  <c r="M1305"/>
  <c r="N1305"/>
  <c r="O1305"/>
  <c r="Q1305"/>
  <c r="C1306"/>
  <c r="D1306"/>
  <c r="M1306"/>
  <c r="N1306"/>
  <c r="O1306"/>
  <c r="Q1306"/>
  <c r="C1307"/>
  <c r="D1307"/>
  <c r="M1307"/>
  <c r="N1307"/>
  <c r="O1307"/>
  <c r="Q1307"/>
  <c r="C1308"/>
  <c r="D1308"/>
  <c r="M1308"/>
  <c r="N1308"/>
  <c r="O1308"/>
  <c r="Q1308"/>
  <c r="C1309"/>
  <c r="D1309"/>
  <c r="M1309"/>
  <c r="N1309"/>
  <c r="O1309"/>
  <c r="Q1309"/>
  <c r="C1310"/>
  <c r="D1310"/>
  <c r="M1310"/>
  <c r="N1310"/>
  <c r="O1310"/>
  <c r="Q1310"/>
  <c r="C1311"/>
  <c r="D1311"/>
  <c r="M1311"/>
  <c r="N1311"/>
  <c r="O1311"/>
  <c r="Q1311"/>
  <c r="C1312"/>
  <c r="D1312"/>
  <c r="M1312"/>
  <c r="N1312"/>
  <c r="O1312"/>
  <c r="Q1312"/>
  <c r="C1313"/>
  <c r="D1313"/>
  <c r="M1313"/>
  <c r="N1313"/>
  <c r="O1313"/>
  <c r="Q1313"/>
  <c r="C1314"/>
  <c r="D1314"/>
  <c r="M1314"/>
  <c r="N1314"/>
  <c r="O1314"/>
  <c r="Q1314"/>
  <c r="C1315"/>
  <c r="D1315"/>
  <c r="M1315"/>
  <c r="N1315"/>
  <c r="O1315"/>
  <c r="Q1315"/>
  <c r="C1316"/>
  <c r="D1316"/>
  <c r="M1316"/>
  <c r="N1316"/>
  <c r="O1316"/>
  <c r="Q1316"/>
  <c r="C1317"/>
  <c r="D1317"/>
  <c r="M1317"/>
  <c r="N1317"/>
  <c r="O1317"/>
  <c r="Q1317"/>
  <c r="C1318"/>
  <c r="D1318"/>
  <c r="M1318"/>
  <c r="N1318"/>
  <c r="O1318"/>
  <c r="Q1318"/>
  <c r="C1319"/>
  <c r="D1319"/>
  <c r="M1319"/>
  <c r="N1319"/>
  <c r="O1319"/>
  <c r="Q1319"/>
  <c r="C1320"/>
  <c r="D1320"/>
  <c r="M1320"/>
  <c r="N1320"/>
  <c r="O1320"/>
  <c r="Q1320"/>
  <c r="C1321"/>
  <c r="D1321"/>
  <c r="M1321"/>
  <c r="N1321"/>
  <c r="O1321"/>
  <c r="Q1321"/>
  <c r="C1322"/>
  <c r="D1322"/>
  <c r="M1322"/>
  <c r="N1322"/>
  <c r="O1322"/>
  <c r="Q1322"/>
  <c r="C1323"/>
  <c r="D1323"/>
  <c r="M1323"/>
  <c r="N1323"/>
  <c r="O1323"/>
  <c r="Q1323"/>
  <c r="C1324"/>
  <c r="D1324"/>
  <c r="M1324"/>
  <c r="N1324"/>
  <c r="O1324"/>
  <c r="Q1324"/>
  <c r="C1325"/>
  <c r="D1325"/>
  <c r="M1325"/>
  <c r="N1325"/>
  <c r="O1325"/>
  <c r="Q1325"/>
  <c r="C1326"/>
  <c r="D1326"/>
  <c r="M1326"/>
  <c r="N1326"/>
  <c r="O1326"/>
  <c r="Q1326"/>
  <c r="C1327"/>
  <c r="D1327"/>
  <c r="M1327"/>
  <c r="N1327"/>
  <c r="O1327"/>
  <c r="Q1327"/>
  <c r="C1328"/>
  <c r="D1328"/>
  <c r="M1328"/>
  <c r="N1328"/>
  <c r="O1328"/>
  <c r="Q1328"/>
  <c r="C1329"/>
  <c r="D1329"/>
  <c r="M1329"/>
  <c r="N1329"/>
  <c r="O1329"/>
  <c r="Q1329"/>
  <c r="C1330"/>
  <c r="D1330"/>
  <c r="M1330"/>
  <c r="N1330"/>
  <c r="O1330"/>
  <c r="Q1330"/>
  <c r="C1331"/>
  <c r="D1331"/>
  <c r="M1331"/>
  <c r="N1331"/>
  <c r="O1331"/>
  <c r="Q1331"/>
  <c r="C1332"/>
  <c r="D1332"/>
  <c r="M1332"/>
  <c r="N1332"/>
  <c r="O1332"/>
  <c r="Q1332"/>
  <c r="C1333"/>
  <c r="D1333"/>
  <c r="M1333"/>
  <c r="N1333"/>
  <c r="O1333"/>
  <c r="Q1333"/>
  <c r="C1334"/>
  <c r="D1334"/>
  <c r="M1334"/>
  <c r="N1334"/>
  <c r="O1334"/>
  <c r="Q1334"/>
  <c r="C1335"/>
  <c r="D1335"/>
  <c r="M1335"/>
  <c r="N1335"/>
  <c r="O1335"/>
  <c r="Q1335"/>
  <c r="C1336"/>
  <c r="D1336"/>
  <c r="M1336"/>
  <c r="N1336"/>
  <c r="O1336"/>
  <c r="Q1336"/>
  <c r="C1337"/>
  <c r="D1337"/>
  <c r="M1337"/>
  <c r="N1337"/>
  <c r="O1337"/>
  <c r="Q1337"/>
  <c r="C1338"/>
  <c r="D1338"/>
  <c r="M1338"/>
  <c r="N1338"/>
  <c r="O1338"/>
  <c r="Q1338"/>
  <c r="C1339"/>
  <c r="D1339"/>
  <c r="M1339"/>
  <c r="N1339"/>
  <c r="O1339"/>
  <c r="Q1339"/>
  <c r="C1340"/>
  <c r="D1340"/>
  <c r="M1340"/>
  <c r="N1340"/>
  <c r="O1340"/>
  <c r="Q1340"/>
  <c r="C1341"/>
  <c r="D1341"/>
  <c r="M1341"/>
  <c r="N1341"/>
  <c r="O1341"/>
  <c r="Q1341"/>
  <c r="C1342"/>
  <c r="D1342"/>
  <c r="M1342"/>
  <c r="N1342"/>
  <c r="O1342"/>
  <c r="Q1342"/>
  <c r="C1343"/>
  <c r="D1343"/>
  <c r="M1343"/>
  <c r="N1343"/>
  <c r="O1343"/>
  <c r="Q1343"/>
  <c r="C1344"/>
  <c r="D1344"/>
  <c r="M1344"/>
  <c r="N1344"/>
  <c r="O1344"/>
  <c r="Q1344"/>
  <c r="C1345"/>
  <c r="D1345"/>
  <c r="M1345"/>
  <c r="N1345"/>
  <c r="O1345"/>
  <c r="Q1345"/>
  <c r="C1346"/>
  <c r="D1346"/>
  <c r="M1346"/>
  <c r="N1346"/>
  <c r="O1346"/>
  <c r="Q1346"/>
  <c r="C1347"/>
  <c r="D1347"/>
  <c r="M1347"/>
  <c r="N1347"/>
  <c r="O1347"/>
  <c r="Q1347"/>
  <c r="C1348"/>
  <c r="D1348"/>
  <c r="M1348"/>
  <c r="N1348"/>
  <c r="O1348"/>
  <c r="Q1348"/>
  <c r="C1349"/>
  <c r="D1349"/>
  <c r="M1349"/>
  <c r="N1349"/>
  <c r="O1349"/>
  <c r="Q1349"/>
  <c r="C1350"/>
  <c r="D1350"/>
  <c r="M1350"/>
  <c r="N1350"/>
  <c r="O1350"/>
  <c r="Q1350"/>
  <c r="C1351"/>
  <c r="D1351"/>
  <c r="M1351"/>
  <c r="N1351"/>
  <c r="O1351"/>
  <c r="Q1351"/>
  <c r="C1352"/>
  <c r="D1352"/>
  <c r="M1352"/>
  <c r="N1352"/>
  <c r="O1352"/>
  <c r="Q1352"/>
  <c r="C1353"/>
  <c r="D1353"/>
  <c r="M1353"/>
  <c r="N1353"/>
  <c r="O1353"/>
  <c r="Q1353"/>
  <c r="C1354"/>
  <c r="D1354"/>
  <c r="M1354"/>
  <c r="N1354"/>
  <c r="O1354"/>
  <c r="Q1354"/>
  <c r="C1355"/>
  <c r="D1355"/>
  <c r="M1355"/>
  <c r="N1355"/>
  <c r="O1355"/>
  <c r="Q1355"/>
  <c r="C1356"/>
  <c r="D1356"/>
  <c r="M1356"/>
  <c r="N1356"/>
  <c r="O1356"/>
  <c r="Q1356"/>
  <c r="C1357"/>
  <c r="D1357"/>
  <c r="M1357"/>
  <c r="N1357"/>
  <c r="O1357"/>
  <c r="Q1357"/>
  <c r="C1358"/>
  <c r="D1358"/>
  <c r="M1358"/>
  <c r="N1358"/>
  <c r="O1358"/>
  <c r="Q1358"/>
  <c r="C1359"/>
  <c r="D1359"/>
  <c r="M1359"/>
  <c r="N1359"/>
  <c r="O1359"/>
  <c r="Q1359"/>
  <c r="C1360"/>
  <c r="D1360"/>
  <c r="M1360"/>
  <c r="N1360"/>
  <c r="O1360"/>
  <c r="Q1360"/>
  <c r="C1361"/>
  <c r="D1361"/>
  <c r="M1361"/>
  <c r="N1361"/>
  <c r="O1361"/>
  <c r="Q1361"/>
  <c r="C1362"/>
  <c r="D1362"/>
  <c r="M1362"/>
  <c r="N1362"/>
  <c r="O1362"/>
  <c r="Q1362"/>
  <c r="C1363"/>
  <c r="D1363"/>
  <c r="M1363"/>
  <c r="N1363"/>
  <c r="O1363"/>
  <c r="Q1363"/>
  <c r="C1364"/>
  <c r="D1364"/>
  <c r="M1364"/>
  <c r="N1364"/>
  <c r="O1364"/>
  <c r="Q1364"/>
  <c r="C1365"/>
  <c r="D1365"/>
  <c r="M1365"/>
  <c r="N1365"/>
  <c r="O1365"/>
  <c r="Q1365"/>
  <c r="C1366"/>
  <c r="D1366"/>
  <c r="M1366"/>
  <c r="N1366"/>
  <c r="O1366"/>
  <c r="Q1366"/>
  <c r="C1367"/>
  <c r="D1367"/>
  <c r="M1367"/>
  <c r="N1367"/>
  <c r="O1367"/>
  <c r="Q1367"/>
  <c r="C1368"/>
  <c r="D1368"/>
  <c r="M1368"/>
  <c r="N1368"/>
  <c r="O1368"/>
  <c r="Q1368"/>
  <c r="C1369"/>
  <c r="D1369"/>
  <c r="M1369"/>
  <c r="N1369"/>
  <c r="O1369"/>
  <c r="Q1369"/>
  <c r="C1370"/>
  <c r="D1370"/>
  <c r="M1370"/>
  <c r="N1370"/>
  <c r="O1370"/>
  <c r="Q1370"/>
  <c r="C1371"/>
  <c r="D1371"/>
  <c r="M1371"/>
  <c r="N1371"/>
  <c r="O1371"/>
  <c r="Q1371"/>
  <c r="C1372"/>
  <c r="D1372"/>
  <c r="M1372"/>
  <c r="N1372"/>
  <c r="O1372"/>
  <c r="Q1372"/>
  <c r="C1373"/>
  <c r="D1373"/>
  <c r="M1373"/>
  <c r="N1373"/>
  <c r="O1373"/>
  <c r="Q1373"/>
  <c r="C1374"/>
  <c r="D1374"/>
  <c r="M1374"/>
  <c r="N1374"/>
  <c r="O1374"/>
  <c r="Q1374"/>
  <c r="C1375"/>
  <c r="D1375"/>
  <c r="M1375"/>
  <c r="N1375"/>
  <c r="O1375"/>
  <c r="Q1375"/>
  <c r="C1376"/>
  <c r="D1376"/>
  <c r="M1376"/>
  <c r="N1376"/>
  <c r="O1376"/>
  <c r="Q1376"/>
  <c r="C1377"/>
  <c r="D1377"/>
  <c r="M1377"/>
  <c r="N1377"/>
  <c r="O1377"/>
  <c r="Q1377"/>
  <c r="C1378"/>
  <c r="D1378"/>
  <c r="M1378"/>
  <c r="N1378"/>
  <c r="O1378"/>
  <c r="Q1378"/>
  <c r="C1379"/>
  <c r="D1379"/>
  <c r="M1379"/>
  <c r="N1379"/>
  <c r="O1379"/>
  <c r="Q1379"/>
  <c r="C1380"/>
  <c r="D1380"/>
  <c r="M1380"/>
  <c r="N1380"/>
  <c r="O1380"/>
  <c r="Q1380"/>
  <c r="C1381"/>
  <c r="D1381"/>
  <c r="M1381"/>
  <c r="N1381"/>
  <c r="O1381"/>
  <c r="Q1381"/>
  <c r="C1382"/>
  <c r="D1382"/>
  <c r="M1382"/>
  <c r="N1382"/>
  <c r="O1382"/>
  <c r="Q1382"/>
  <c r="C1383"/>
  <c r="D1383"/>
  <c r="M1383"/>
  <c r="N1383"/>
  <c r="O1383"/>
  <c r="Q1383"/>
  <c r="C1384"/>
  <c r="D1384"/>
  <c r="M1384"/>
  <c r="N1384"/>
  <c r="O1384"/>
  <c r="Q1384"/>
  <c r="C1385"/>
  <c r="D1385"/>
  <c r="M1385"/>
  <c r="N1385"/>
  <c r="O1385"/>
  <c r="Q1385"/>
  <c r="C1386"/>
  <c r="D1386"/>
  <c r="M1386"/>
  <c r="N1386"/>
  <c r="O1386"/>
  <c r="Q1386"/>
  <c r="C1387"/>
  <c r="D1387"/>
  <c r="M1387"/>
  <c r="N1387"/>
  <c r="O1387"/>
  <c r="Q1387"/>
  <c r="C1388"/>
  <c r="D1388"/>
  <c r="M1388"/>
  <c r="N1388"/>
  <c r="O1388"/>
  <c r="Q1388"/>
  <c r="C1389"/>
  <c r="D1389"/>
  <c r="M1389"/>
  <c r="N1389"/>
  <c r="O1389"/>
  <c r="Q1389"/>
  <c r="C1390"/>
  <c r="D1390"/>
  <c r="M1390"/>
  <c r="N1390"/>
  <c r="O1390"/>
  <c r="Q1390"/>
  <c r="C1391"/>
  <c r="D1391"/>
  <c r="M1391"/>
  <c r="N1391"/>
  <c r="O1391"/>
  <c r="Q1391"/>
  <c r="C1392"/>
  <c r="D1392"/>
  <c r="M1392"/>
  <c r="N1392"/>
  <c r="O1392"/>
  <c r="Q1392"/>
  <c r="C1393"/>
  <c r="D1393"/>
  <c r="M1393"/>
  <c r="N1393"/>
  <c r="O1393"/>
  <c r="Q1393"/>
  <c r="C1394"/>
  <c r="D1394"/>
  <c r="M1394"/>
  <c r="N1394"/>
  <c r="O1394"/>
  <c r="Q1394"/>
  <c r="C1395"/>
  <c r="D1395"/>
  <c r="M1395"/>
  <c r="N1395"/>
  <c r="O1395"/>
  <c r="Q1395"/>
  <c r="C1396"/>
  <c r="D1396"/>
  <c r="M1396"/>
  <c r="N1396"/>
  <c r="O1396"/>
  <c r="Q1396"/>
  <c r="C1397"/>
  <c r="D1397"/>
  <c r="M1397"/>
  <c r="N1397"/>
  <c r="O1397"/>
  <c r="Q1397"/>
  <c r="C1398"/>
  <c r="D1398"/>
  <c r="M1398"/>
  <c r="N1398"/>
  <c r="O1398"/>
  <c r="Q1398"/>
  <c r="C1399"/>
  <c r="D1399"/>
  <c r="M1399"/>
  <c r="N1399"/>
  <c r="O1399"/>
  <c r="Q1399"/>
  <c r="C1400"/>
  <c r="D1400"/>
  <c r="M1400"/>
  <c r="N1400"/>
  <c r="O1400"/>
  <c r="Q1400"/>
  <c r="C1401"/>
  <c r="D1401"/>
  <c r="M1401"/>
  <c r="N1401"/>
  <c r="O1401"/>
  <c r="Q1401"/>
  <c r="C1402"/>
  <c r="D1402"/>
  <c r="M1402"/>
  <c r="N1402"/>
  <c r="O1402"/>
  <c r="Q1402"/>
  <c r="C1403"/>
  <c r="D1403"/>
  <c r="M1403"/>
  <c r="N1403"/>
  <c r="O1403"/>
  <c r="Q1403"/>
  <c r="C1404"/>
  <c r="D1404"/>
  <c r="M1404"/>
  <c r="N1404"/>
  <c r="O1404"/>
  <c r="Q1404"/>
  <c r="C1405"/>
  <c r="D1405"/>
  <c r="M1405"/>
  <c r="N1405"/>
  <c r="O1405"/>
  <c r="Q1405"/>
  <c r="C1406"/>
  <c r="D1406"/>
  <c r="M1406"/>
  <c r="N1406"/>
  <c r="O1406"/>
  <c r="Q1406"/>
  <c r="C1407"/>
  <c r="D1407"/>
  <c r="M1407"/>
  <c r="N1407"/>
  <c r="O1407"/>
  <c r="Q1407"/>
  <c r="C1408"/>
  <c r="D1408"/>
  <c r="M1408"/>
  <c r="N1408"/>
  <c r="O1408"/>
  <c r="Q1408"/>
  <c r="C1409"/>
  <c r="D1409"/>
  <c r="M1409"/>
  <c r="N1409"/>
  <c r="O1409"/>
  <c r="Q1409"/>
  <c r="C1410"/>
  <c r="D1410"/>
  <c r="M1410"/>
  <c r="N1410"/>
  <c r="O1410"/>
  <c r="Q1410"/>
  <c r="C1411"/>
  <c r="D1411"/>
  <c r="M1411"/>
  <c r="N1411"/>
  <c r="O1411"/>
  <c r="Q1411"/>
  <c r="C1412"/>
  <c r="D1412"/>
  <c r="M1412"/>
  <c r="N1412"/>
  <c r="O1412"/>
  <c r="Q1412"/>
  <c r="C1413"/>
  <c r="D1413"/>
  <c r="M1413"/>
  <c r="N1413"/>
  <c r="O1413"/>
  <c r="Q1413"/>
  <c r="C1414"/>
  <c r="D1414"/>
  <c r="M1414"/>
  <c r="N1414"/>
  <c r="O1414"/>
  <c r="Q1414"/>
  <c r="C1415"/>
  <c r="D1415"/>
  <c r="M1415"/>
  <c r="N1415"/>
  <c r="O1415"/>
  <c r="Q1415"/>
  <c r="C1416"/>
  <c r="D1416"/>
  <c r="M1416"/>
  <c r="N1416"/>
  <c r="O1416"/>
  <c r="Q1416"/>
  <c r="C1417"/>
  <c r="D1417"/>
  <c r="M1417"/>
  <c r="N1417"/>
  <c r="O1417"/>
  <c r="Q1417"/>
  <c r="C1418"/>
  <c r="D1418"/>
  <c r="M1418"/>
  <c r="N1418"/>
  <c r="O1418"/>
  <c r="Q1418"/>
  <c r="C1419"/>
  <c r="D1419"/>
  <c r="M1419"/>
  <c r="N1419"/>
  <c r="O1419"/>
  <c r="Q1419"/>
  <c r="C1420"/>
  <c r="D1420"/>
  <c r="M1420"/>
  <c r="N1420"/>
  <c r="O1420"/>
  <c r="Q1420"/>
  <c r="C1421"/>
  <c r="D1421"/>
  <c r="M1421"/>
  <c r="N1421"/>
  <c r="O1421"/>
  <c r="Q1421"/>
  <c r="C1422"/>
  <c r="D1422"/>
  <c r="M1422"/>
  <c r="N1422"/>
  <c r="O1422"/>
  <c r="Q1422"/>
  <c r="C1423"/>
  <c r="D1423"/>
  <c r="M1423"/>
  <c r="N1423"/>
  <c r="O1423"/>
  <c r="Q1423"/>
  <c r="C1424"/>
  <c r="D1424"/>
  <c r="M1424"/>
  <c r="N1424"/>
  <c r="O1424"/>
  <c r="Q1424"/>
  <c r="C1425"/>
  <c r="D1425"/>
  <c r="M1425"/>
  <c r="N1425"/>
  <c r="O1425"/>
  <c r="Q1425"/>
  <c r="C1426"/>
  <c r="D1426"/>
  <c r="M1426"/>
  <c r="N1426"/>
  <c r="O1426"/>
  <c r="Q1426"/>
  <c r="C1427"/>
  <c r="D1427"/>
  <c r="M1427"/>
  <c r="N1427"/>
  <c r="O1427"/>
  <c r="Q1427"/>
  <c r="C1428"/>
  <c r="D1428"/>
  <c r="M1428"/>
  <c r="N1428"/>
  <c r="O1428"/>
  <c r="Q1428"/>
  <c r="C1429"/>
  <c r="D1429"/>
  <c r="M1429"/>
  <c r="N1429"/>
  <c r="O1429"/>
  <c r="Q1429"/>
  <c r="C1430"/>
  <c r="D1430"/>
  <c r="M1430"/>
  <c r="N1430"/>
  <c r="O1430"/>
  <c r="Q1430"/>
  <c r="C1431"/>
  <c r="D1431"/>
  <c r="M1431"/>
  <c r="N1431"/>
  <c r="O1431"/>
  <c r="Q1431"/>
  <c r="C1432"/>
  <c r="D1432"/>
  <c r="M1432"/>
  <c r="N1432"/>
  <c r="O1432"/>
  <c r="Q1432"/>
  <c r="C1433"/>
  <c r="D1433"/>
  <c r="M1433"/>
  <c r="N1433"/>
  <c r="O1433"/>
  <c r="Q1433"/>
  <c r="C1434"/>
  <c r="D1434"/>
  <c r="M1434"/>
  <c r="N1434"/>
  <c r="O1434"/>
  <c r="Q1434"/>
  <c r="C1435"/>
  <c r="D1435"/>
  <c r="M1435"/>
  <c r="N1435"/>
  <c r="O1435"/>
  <c r="Q1435"/>
  <c r="C1436"/>
  <c r="D1436"/>
  <c r="M1436"/>
  <c r="N1436"/>
  <c r="O1436"/>
  <c r="Q1436"/>
  <c r="C1437"/>
  <c r="D1437"/>
  <c r="M1437"/>
  <c r="N1437"/>
  <c r="O1437"/>
  <c r="Q1437"/>
  <c r="C1438"/>
  <c r="D1438"/>
  <c r="M1438"/>
  <c r="N1438"/>
  <c r="O1438"/>
  <c r="Q1438"/>
  <c r="C1439"/>
  <c r="D1439"/>
  <c r="M1439"/>
  <c r="N1439"/>
  <c r="O1439"/>
  <c r="Q1439"/>
  <c r="C1440"/>
  <c r="D1440"/>
  <c r="M1440"/>
  <c r="N1440"/>
  <c r="O1440"/>
  <c r="Q1440"/>
  <c r="C1441"/>
  <c r="D1441"/>
  <c r="M1441"/>
  <c r="N1441"/>
  <c r="O1441"/>
  <c r="Q1441"/>
  <c r="C1442"/>
  <c r="D1442"/>
  <c r="M1442"/>
  <c r="N1442"/>
  <c r="O1442"/>
  <c r="Q1442"/>
  <c r="C1443"/>
  <c r="D1443"/>
  <c r="M1443"/>
  <c r="N1443"/>
  <c r="O1443"/>
  <c r="Q1443"/>
  <c r="C1444"/>
  <c r="D1444"/>
  <c r="M1444"/>
  <c r="N1444"/>
  <c r="O1444"/>
  <c r="Q1444"/>
  <c r="C1445"/>
  <c r="D1445"/>
  <c r="M1445"/>
  <c r="N1445"/>
  <c r="O1445"/>
  <c r="Q1445"/>
  <c r="C1446"/>
  <c r="D1446"/>
  <c r="M1446"/>
  <c r="N1446"/>
  <c r="O1446"/>
  <c r="Q1446"/>
  <c r="C1447"/>
  <c r="D1447"/>
  <c r="M1447"/>
  <c r="N1447"/>
  <c r="O1447"/>
  <c r="Q1447"/>
  <c r="C1448"/>
  <c r="D1448"/>
  <c r="M1448"/>
  <c r="N1448"/>
  <c r="O1448"/>
  <c r="Q1448"/>
  <c r="C1449"/>
  <c r="D1449"/>
  <c r="M1449"/>
  <c r="N1449"/>
  <c r="O1449"/>
  <c r="Q1449"/>
  <c r="C1450"/>
  <c r="D1450"/>
  <c r="M1450"/>
  <c r="N1450"/>
  <c r="O1450"/>
  <c r="Q1450"/>
  <c r="C1451"/>
  <c r="D1451"/>
  <c r="M1451"/>
  <c r="N1451"/>
  <c r="O1451"/>
  <c r="Q1451"/>
  <c r="C1452"/>
  <c r="D1452"/>
  <c r="M1452"/>
  <c r="N1452"/>
  <c r="O1452"/>
  <c r="Q1452"/>
  <c r="C1453"/>
  <c r="D1453"/>
  <c r="M1453"/>
  <c r="N1453"/>
  <c r="O1453"/>
  <c r="Q1453"/>
  <c r="C1454"/>
  <c r="D1454"/>
  <c r="M1454"/>
  <c r="N1454"/>
  <c r="O1454"/>
  <c r="Q1454"/>
  <c r="C1455"/>
  <c r="D1455"/>
  <c r="M1455"/>
  <c r="N1455"/>
  <c r="O1455"/>
  <c r="Q1455"/>
  <c r="C1456"/>
  <c r="D1456"/>
  <c r="M1456"/>
  <c r="N1456"/>
  <c r="O1456"/>
  <c r="Q1456"/>
  <c r="C1457"/>
  <c r="D1457"/>
  <c r="M1457"/>
  <c r="N1457"/>
  <c r="O1457"/>
  <c r="Q1457"/>
  <c r="C1458"/>
  <c r="D1458"/>
  <c r="M1458"/>
  <c r="N1458"/>
  <c r="O1458"/>
  <c r="Q1458"/>
  <c r="C1459"/>
  <c r="D1459"/>
  <c r="M1459"/>
  <c r="N1459"/>
  <c r="O1459"/>
  <c r="Q1459"/>
  <c r="C1460"/>
  <c r="D1460"/>
  <c r="M1460"/>
  <c r="N1460"/>
  <c r="O1460"/>
  <c r="Q1460"/>
  <c r="C1461"/>
  <c r="D1461"/>
  <c r="M1461"/>
  <c r="N1461"/>
  <c r="O1461"/>
  <c r="Q1461"/>
  <c r="C1462"/>
  <c r="D1462"/>
  <c r="M1462"/>
  <c r="N1462"/>
  <c r="O1462"/>
  <c r="Q1462"/>
  <c r="C1463"/>
  <c r="D1463"/>
  <c r="M1463"/>
  <c r="N1463"/>
  <c r="O1463"/>
  <c r="Q1463"/>
  <c r="C1464"/>
  <c r="D1464"/>
  <c r="M1464"/>
  <c r="N1464"/>
  <c r="O1464"/>
  <c r="Q1464"/>
  <c r="C1465"/>
  <c r="D1465"/>
  <c r="M1465"/>
  <c r="N1465"/>
  <c r="O1465"/>
  <c r="Q1465"/>
  <c r="C1466"/>
  <c r="D1466"/>
  <c r="M1466"/>
  <c r="N1466"/>
  <c r="O1466"/>
  <c r="Q1466"/>
  <c r="C1467"/>
  <c r="D1467"/>
  <c r="M1467"/>
  <c r="N1467"/>
  <c r="O1467"/>
  <c r="Q1467"/>
  <c r="C1468"/>
  <c r="D1468"/>
  <c r="M1468"/>
  <c r="N1468"/>
  <c r="O1468"/>
  <c r="Q1468"/>
  <c r="C1469"/>
  <c r="D1469"/>
  <c r="M1469"/>
  <c r="N1469"/>
  <c r="O1469"/>
  <c r="Q1469"/>
  <c r="C1470"/>
  <c r="D1470"/>
  <c r="M1470"/>
  <c r="N1470"/>
  <c r="O1470"/>
  <c r="Q1470"/>
  <c r="C1471"/>
  <c r="D1471"/>
  <c r="M1471"/>
  <c r="N1471"/>
  <c r="O1471"/>
  <c r="Q1471"/>
  <c r="C1472"/>
  <c r="D1472"/>
  <c r="M1472"/>
  <c r="N1472"/>
  <c r="O1472"/>
  <c r="Q1472"/>
  <c r="C1473"/>
  <c r="D1473"/>
  <c r="M1473"/>
  <c r="N1473"/>
  <c r="O1473"/>
  <c r="Q1473"/>
  <c r="C1474"/>
  <c r="D1474"/>
  <c r="M1474"/>
  <c r="N1474"/>
  <c r="O1474"/>
  <c r="Q1474"/>
  <c r="C1475"/>
  <c r="D1475"/>
  <c r="M1475"/>
  <c r="N1475"/>
  <c r="O1475"/>
  <c r="Q1475"/>
  <c r="C1476"/>
  <c r="D1476"/>
  <c r="M1476"/>
  <c r="N1476"/>
  <c r="O1476"/>
  <c r="Q1476"/>
  <c r="C1477"/>
  <c r="D1477"/>
  <c r="M1477"/>
  <c r="N1477"/>
  <c r="O1477"/>
  <c r="Q1477"/>
  <c r="C1478"/>
  <c r="D1478"/>
  <c r="M1478"/>
  <c r="N1478"/>
  <c r="O1478"/>
  <c r="Q1478"/>
  <c r="C1479"/>
  <c r="D1479"/>
  <c r="M1479"/>
  <c r="N1479"/>
  <c r="O1479"/>
  <c r="Q1479"/>
  <c r="C1480"/>
  <c r="D1480"/>
  <c r="M1480"/>
  <c r="N1480"/>
  <c r="O1480"/>
  <c r="Q1480"/>
  <c r="C1481"/>
  <c r="D1481"/>
  <c r="M1481"/>
  <c r="N1481"/>
  <c r="O1481"/>
  <c r="Q1481"/>
  <c r="C1482"/>
  <c r="D1482"/>
  <c r="M1482"/>
  <c r="N1482"/>
  <c r="O1482"/>
  <c r="Q1482"/>
  <c r="C1483"/>
  <c r="D1483"/>
  <c r="M1483"/>
  <c r="N1483"/>
  <c r="O1483"/>
  <c r="Q1483"/>
  <c r="C1484"/>
  <c r="D1484"/>
  <c r="M1484"/>
  <c r="N1484"/>
  <c r="O1484"/>
  <c r="Q1484"/>
  <c r="C1485"/>
  <c r="D1485"/>
  <c r="M1485"/>
  <c r="N1485"/>
  <c r="O1485"/>
  <c r="Q1485"/>
  <c r="C1486"/>
  <c r="D1486"/>
  <c r="M1486"/>
  <c r="N1486"/>
  <c r="O1486"/>
  <c r="Q1486"/>
  <c r="C1487"/>
  <c r="D1487"/>
  <c r="M1487"/>
  <c r="N1487"/>
  <c r="O1487"/>
  <c r="Q1487"/>
  <c r="C1488"/>
  <c r="D1488"/>
  <c r="M1488"/>
  <c r="N1488"/>
  <c r="O1488"/>
  <c r="Q1488"/>
  <c r="C1489"/>
  <c r="D1489"/>
  <c r="M1489"/>
  <c r="N1489"/>
  <c r="O1489"/>
  <c r="Q1489"/>
  <c r="C1490"/>
  <c r="D1490"/>
  <c r="M1490"/>
  <c r="N1490"/>
  <c r="O1490"/>
  <c r="Q1490"/>
  <c r="C1491"/>
  <c r="D1491"/>
  <c r="M1491"/>
  <c r="N1491"/>
  <c r="O1491"/>
  <c r="Q1491"/>
  <c r="C1492"/>
  <c r="D1492"/>
  <c r="M1492"/>
  <c r="N1492"/>
  <c r="O1492"/>
  <c r="Q1492"/>
  <c r="C1493"/>
  <c r="D1493"/>
  <c r="M1493"/>
  <c r="N1493"/>
  <c r="O1493"/>
  <c r="Q1493"/>
  <c r="C1494"/>
  <c r="D1494"/>
  <c r="M1494"/>
  <c r="N1494"/>
  <c r="O1494"/>
  <c r="Q1494"/>
  <c r="C1495"/>
  <c r="D1495"/>
  <c r="M1495"/>
  <c r="N1495"/>
  <c r="O1495"/>
  <c r="Q1495"/>
  <c r="C1496"/>
  <c r="D1496"/>
  <c r="M1496"/>
  <c r="N1496"/>
  <c r="O1496"/>
  <c r="Q1496"/>
  <c r="C1497"/>
  <c r="D1497"/>
  <c r="M1497"/>
  <c r="N1497"/>
  <c r="O1497"/>
  <c r="Q1497"/>
  <c r="C1498"/>
  <c r="D1498"/>
  <c r="M1498"/>
  <c r="N1498"/>
  <c r="O1498"/>
  <c r="Q1498"/>
  <c r="C1499"/>
  <c r="D1499"/>
  <c r="M1499"/>
  <c r="N1499"/>
  <c r="O1499"/>
  <c r="Q1499"/>
  <c r="C1500"/>
  <c r="D1500"/>
  <c r="M1500"/>
  <c r="N1500"/>
  <c r="O1500"/>
  <c r="Q1500"/>
  <c r="C1501"/>
  <c r="D1501"/>
  <c r="M1501"/>
  <c r="N1501"/>
  <c r="O1501"/>
  <c r="Q1501"/>
  <c r="C1502"/>
  <c r="D1502"/>
  <c r="M1502"/>
  <c r="N1502"/>
  <c r="O1502"/>
  <c r="Q1502"/>
  <c r="C1503"/>
  <c r="D1503"/>
  <c r="M1503"/>
  <c r="N1503"/>
  <c r="O1503"/>
  <c r="Q1503"/>
  <c r="C1504"/>
  <c r="D1504"/>
  <c r="M1504"/>
  <c r="N1504"/>
  <c r="O1504"/>
  <c r="Q1504"/>
  <c r="C1505"/>
  <c r="D1505"/>
  <c r="M1505"/>
  <c r="N1505"/>
  <c r="O1505"/>
  <c r="Q1505"/>
  <c r="C1506"/>
  <c r="D1506"/>
  <c r="M1506"/>
  <c r="N1506"/>
  <c r="O1506"/>
  <c r="Q1506"/>
  <c r="C1507"/>
  <c r="D1507"/>
  <c r="M1507"/>
  <c r="N1507"/>
  <c r="O1507"/>
  <c r="Q1507"/>
  <c r="C1508"/>
  <c r="D1508"/>
  <c r="M1508"/>
  <c r="N1508"/>
  <c r="O1508"/>
  <c r="Q1508"/>
  <c r="C1509"/>
  <c r="D1509"/>
  <c r="M1509"/>
  <c r="N1509"/>
  <c r="O1509"/>
  <c r="Q1509"/>
  <c r="C1510"/>
  <c r="D1510"/>
  <c r="M1510"/>
  <c r="N1510"/>
  <c r="O1510"/>
  <c r="Q1510"/>
  <c r="C1511"/>
  <c r="D1511"/>
  <c r="M1511"/>
  <c r="N1511"/>
  <c r="O1511"/>
  <c r="Q1511"/>
  <c r="C1512"/>
  <c r="D1512"/>
  <c r="M1512"/>
  <c r="N1512"/>
  <c r="O1512"/>
  <c r="Q1512"/>
  <c r="C1513"/>
  <c r="D1513"/>
  <c r="M1513"/>
  <c r="N1513"/>
  <c r="O1513"/>
  <c r="Q1513"/>
  <c r="C1514"/>
  <c r="D1514"/>
  <c r="M1514"/>
  <c r="N1514"/>
  <c r="O1514"/>
  <c r="Q1514"/>
  <c r="C1515"/>
  <c r="D1515"/>
  <c r="M1515"/>
  <c r="N1515"/>
  <c r="O1515"/>
  <c r="Q1515"/>
  <c r="C1516"/>
  <c r="D1516"/>
  <c r="M1516"/>
  <c r="N1516"/>
  <c r="O1516"/>
  <c r="Q1516"/>
  <c r="C1517"/>
  <c r="D1517"/>
  <c r="M1517"/>
  <c r="N1517"/>
  <c r="O1517"/>
  <c r="Q1517"/>
  <c r="C1518"/>
  <c r="D1518"/>
  <c r="M1518"/>
  <c r="N1518"/>
  <c r="O1518"/>
  <c r="Q1518"/>
  <c r="C1519"/>
  <c r="D1519"/>
  <c r="M1519"/>
  <c r="N1519"/>
  <c r="O1519"/>
  <c r="Q1519"/>
  <c r="C1520"/>
  <c r="D1520"/>
  <c r="M1520"/>
  <c r="N1520"/>
  <c r="O1520"/>
  <c r="Q1520"/>
  <c r="C1521"/>
  <c r="D1521"/>
  <c r="M1521"/>
  <c r="N1521"/>
  <c r="O1521"/>
  <c r="Q1521"/>
  <c r="C1522"/>
  <c r="D1522"/>
  <c r="M1522"/>
  <c r="N1522"/>
  <c r="O1522"/>
  <c r="Q1522"/>
  <c r="C1523"/>
  <c r="D1523"/>
  <c r="M1523"/>
  <c r="N1523"/>
  <c r="O1523"/>
  <c r="Q1523"/>
  <c r="C1524"/>
  <c r="D1524"/>
  <c r="M1524"/>
  <c r="N1524"/>
  <c r="O1524"/>
  <c r="Q1524"/>
  <c r="C1525"/>
  <c r="D1525"/>
  <c r="M1525"/>
  <c r="N1525"/>
  <c r="O1525"/>
  <c r="Q1525"/>
  <c r="C1526"/>
  <c r="D1526"/>
  <c r="M1526"/>
  <c r="N1526"/>
  <c r="O1526"/>
  <c r="Q1526"/>
  <c r="C1527"/>
  <c r="D1527"/>
  <c r="M1527"/>
  <c r="N1527"/>
  <c r="O1527"/>
  <c r="Q1527"/>
  <c r="C1528"/>
  <c r="D1528"/>
  <c r="M1528"/>
  <c r="N1528"/>
  <c r="O1528"/>
  <c r="Q1528"/>
  <c r="C1529"/>
  <c r="D1529"/>
  <c r="M1529"/>
  <c r="N1529"/>
  <c r="O1529"/>
  <c r="Q1529"/>
  <c r="C1530"/>
  <c r="D1530"/>
  <c r="M1530"/>
  <c r="N1530"/>
  <c r="O1530"/>
  <c r="Q1530"/>
  <c r="C1531"/>
  <c r="D1531"/>
  <c r="M1531"/>
  <c r="N1531"/>
  <c r="O1531"/>
  <c r="Q1531"/>
  <c r="C1532"/>
  <c r="D1532"/>
  <c r="M1532"/>
  <c r="N1532"/>
  <c r="O1532"/>
  <c r="Q1532"/>
  <c r="C1533"/>
  <c r="D1533"/>
  <c r="M1533"/>
  <c r="N1533"/>
  <c r="O1533"/>
  <c r="Q1533"/>
  <c r="C1534"/>
  <c r="D1534"/>
  <c r="M1534"/>
  <c r="N1534"/>
  <c r="O1534"/>
  <c r="Q1534"/>
  <c r="C1535"/>
  <c r="D1535"/>
  <c r="M1535"/>
  <c r="N1535"/>
  <c r="O1535"/>
  <c r="Q1535"/>
  <c r="C1536"/>
  <c r="D1536"/>
  <c r="M1536"/>
  <c r="N1536"/>
  <c r="O1536"/>
  <c r="Q1536"/>
  <c r="C1537"/>
  <c r="D1537"/>
  <c r="M1537"/>
  <c r="N1537"/>
  <c r="O1537"/>
  <c r="Q1537"/>
  <c r="C1538"/>
  <c r="D1538"/>
  <c r="M1538"/>
  <c r="N1538"/>
  <c r="O1538"/>
  <c r="Q1538"/>
  <c r="C1539"/>
  <c r="D1539"/>
  <c r="M1539"/>
  <c r="N1539"/>
  <c r="O1539"/>
  <c r="Q1539"/>
  <c r="C1540"/>
  <c r="D1540"/>
  <c r="M1540"/>
  <c r="N1540"/>
  <c r="O1540"/>
  <c r="Q1540"/>
  <c r="C1541"/>
  <c r="D1541"/>
  <c r="M1541"/>
  <c r="N1541"/>
  <c r="O1541"/>
  <c r="Q1541"/>
  <c r="C1542"/>
  <c r="D1542"/>
  <c r="M1542"/>
  <c r="N1542"/>
  <c r="O1542"/>
  <c r="Q1542"/>
  <c r="C1543"/>
  <c r="D1543"/>
  <c r="M1543"/>
  <c r="N1543"/>
  <c r="O1543"/>
  <c r="Q1543"/>
  <c r="C1544"/>
  <c r="D1544"/>
  <c r="M1544"/>
  <c r="N1544"/>
  <c r="O1544"/>
  <c r="Q1544"/>
  <c r="C1545"/>
  <c r="D1545"/>
  <c r="M1545"/>
  <c r="N1545"/>
  <c r="O1545"/>
  <c r="Q1545"/>
  <c r="C1546"/>
  <c r="D1546"/>
  <c r="M1546"/>
  <c r="N1546"/>
  <c r="O1546"/>
  <c r="Q1546"/>
  <c r="C1547"/>
  <c r="D1547"/>
  <c r="M1547"/>
  <c r="N1547"/>
  <c r="O1547"/>
  <c r="Q1547"/>
  <c r="C1548"/>
  <c r="D1548"/>
  <c r="M1548"/>
  <c r="N1548"/>
  <c r="O1548"/>
  <c r="Q1548"/>
  <c r="C1549"/>
  <c r="D1549"/>
  <c r="M1549"/>
  <c r="N1549"/>
  <c r="O1549"/>
  <c r="Q1549"/>
  <c r="C1550"/>
  <c r="D1550"/>
  <c r="M1550"/>
  <c r="N1550"/>
  <c r="O1550"/>
  <c r="Q1550"/>
  <c r="C1551"/>
  <c r="D1551"/>
  <c r="M1551"/>
  <c r="N1551"/>
  <c r="O1551"/>
  <c r="Q1551"/>
  <c r="C1552"/>
  <c r="D1552"/>
  <c r="M1552"/>
  <c r="N1552"/>
  <c r="O1552"/>
  <c r="Q1552"/>
  <c r="C1553"/>
  <c r="D1553"/>
  <c r="M1553"/>
  <c r="N1553"/>
  <c r="O1553"/>
  <c r="Q1553"/>
  <c r="C1554"/>
  <c r="D1554"/>
  <c r="M1554"/>
  <c r="N1554"/>
  <c r="O1554"/>
  <c r="Q1554"/>
  <c r="C1555"/>
  <c r="D1555"/>
  <c r="M1555"/>
  <c r="N1555"/>
  <c r="O1555"/>
  <c r="Q1555"/>
  <c r="C1556"/>
  <c r="D1556"/>
  <c r="M1556"/>
  <c r="N1556"/>
  <c r="O1556"/>
  <c r="Q1556"/>
  <c r="C1557"/>
  <c r="D1557"/>
  <c r="M1557"/>
  <c r="N1557"/>
  <c r="O1557"/>
  <c r="Q1557"/>
  <c r="C1558"/>
  <c r="D1558"/>
  <c r="M1558"/>
  <c r="N1558"/>
  <c r="O1558"/>
  <c r="Q1558"/>
  <c r="C1559"/>
  <c r="D1559"/>
  <c r="M1559"/>
  <c r="N1559"/>
  <c r="O1559"/>
  <c r="Q1559"/>
  <c r="C1560"/>
  <c r="D1560"/>
  <c r="M1560"/>
  <c r="N1560"/>
  <c r="O1560"/>
  <c r="Q1560"/>
  <c r="C1561"/>
  <c r="D1561"/>
  <c r="M1561"/>
  <c r="N1561"/>
  <c r="O1561"/>
  <c r="Q1561"/>
  <c r="C1562"/>
  <c r="D1562"/>
  <c r="M1562"/>
  <c r="N1562"/>
  <c r="O1562"/>
  <c r="Q1562"/>
  <c r="C1563"/>
  <c r="D1563"/>
  <c r="M1563"/>
  <c r="N1563"/>
  <c r="O1563"/>
  <c r="Q1563"/>
  <c r="C1564"/>
  <c r="D1564"/>
  <c r="M1564"/>
  <c r="N1564"/>
  <c r="O1564"/>
  <c r="Q1564"/>
  <c r="C1565"/>
  <c r="D1565"/>
  <c r="M1565"/>
  <c r="N1565"/>
  <c r="O1565"/>
  <c r="Q1565"/>
  <c r="C1566"/>
  <c r="D1566"/>
  <c r="M1566"/>
  <c r="N1566"/>
  <c r="O1566"/>
  <c r="Q1566"/>
  <c r="C1567"/>
  <c r="D1567"/>
  <c r="M1567"/>
  <c r="N1567"/>
  <c r="O1567"/>
  <c r="Q1567"/>
  <c r="C1568"/>
  <c r="D1568"/>
  <c r="M1568"/>
  <c r="N1568"/>
  <c r="O1568"/>
  <c r="Q1568"/>
  <c r="C1569"/>
  <c r="D1569"/>
  <c r="M1569"/>
  <c r="N1569"/>
  <c r="O1569"/>
  <c r="Q1569"/>
  <c r="C1570"/>
  <c r="D1570"/>
  <c r="M1570"/>
  <c r="N1570"/>
  <c r="O1570"/>
  <c r="Q1570"/>
  <c r="C1571"/>
  <c r="D1571"/>
  <c r="M1571"/>
  <c r="N1571"/>
  <c r="O1571"/>
  <c r="Q1571"/>
  <c r="C1572"/>
  <c r="D1572"/>
  <c r="M1572"/>
  <c r="N1572"/>
  <c r="O1572"/>
  <c r="Q1572"/>
  <c r="C1573"/>
  <c r="D1573"/>
  <c r="M1573"/>
  <c r="N1573"/>
  <c r="O1573"/>
  <c r="Q1573"/>
  <c r="C1574"/>
  <c r="D1574"/>
  <c r="M1574"/>
  <c r="N1574"/>
  <c r="O1574"/>
  <c r="Q1574"/>
  <c r="C1575"/>
  <c r="D1575"/>
  <c r="M1575"/>
  <c r="N1575"/>
  <c r="O1575"/>
  <c r="Q1575"/>
  <c r="C1576"/>
  <c r="D1576"/>
  <c r="M1576"/>
  <c r="N1576"/>
  <c r="O1576"/>
  <c r="Q1576"/>
  <c r="C1577"/>
  <c r="D1577"/>
  <c r="M1577"/>
  <c r="N1577"/>
  <c r="O1577"/>
  <c r="Q1577"/>
  <c r="C1578"/>
  <c r="D1578"/>
  <c r="M1578"/>
  <c r="N1578"/>
  <c r="O1578"/>
  <c r="Q1578"/>
  <c r="C1579"/>
  <c r="D1579"/>
  <c r="M1579"/>
  <c r="N1579"/>
  <c r="O1579"/>
  <c r="Q1579"/>
  <c r="C1580"/>
  <c r="D1580"/>
  <c r="M1580"/>
  <c r="N1580"/>
  <c r="O1580"/>
  <c r="Q1580"/>
  <c r="C1581"/>
  <c r="D1581"/>
  <c r="M1581"/>
  <c r="N1581"/>
  <c r="O1581"/>
  <c r="Q1581"/>
  <c r="C1582"/>
  <c r="D1582"/>
  <c r="M1582"/>
  <c r="N1582"/>
  <c r="O1582"/>
  <c r="Q1582"/>
  <c r="C1583"/>
  <c r="D1583"/>
  <c r="M1583"/>
  <c r="N1583"/>
  <c r="O1583"/>
  <c r="Q1583"/>
  <c r="C1584"/>
  <c r="D1584"/>
  <c r="M1584"/>
  <c r="N1584"/>
  <c r="O1584"/>
  <c r="Q1584"/>
  <c r="C1585"/>
  <c r="D1585"/>
  <c r="M1585"/>
  <c r="N1585"/>
  <c r="O1585"/>
  <c r="Q1585"/>
  <c r="C1586"/>
  <c r="D1586"/>
  <c r="M1586"/>
  <c r="N1586"/>
  <c r="O1586"/>
  <c r="Q1586"/>
  <c r="C1587"/>
  <c r="D1587"/>
  <c r="M1587"/>
  <c r="N1587"/>
  <c r="O1587"/>
  <c r="Q1587"/>
  <c r="C1588"/>
  <c r="D1588"/>
  <c r="M1588"/>
  <c r="N1588"/>
  <c r="O1588"/>
  <c r="Q1588"/>
  <c r="C1589"/>
  <c r="D1589"/>
  <c r="M1589"/>
  <c r="N1589"/>
  <c r="O1589"/>
  <c r="Q1589"/>
  <c r="C1590"/>
  <c r="D1590"/>
  <c r="M1590"/>
  <c r="N1590"/>
  <c r="O1590"/>
  <c r="Q1590"/>
  <c r="C1591"/>
  <c r="D1591"/>
  <c r="M1591"/>
  <c r="N1591"/>
  <c r="O1591"/>
  <c r="Q1591"/>
  <c r="C1592"/>
  <c r="D1592"/>
  <c r="M1592"/>
  <c r="N1592"/>
  <c r="O1592"/>
  <c r="Q1592"/>
  <c r="C1593"/>
  <c r="D1593"/>
  <c r="M1593"/>
  <c r="N1593"/>
  <c r="O1593"/>
  <c r="Q1593"/>
  <c r="C1594"/>
  <c r="D1594"/>
  <c r="M1594"/>
  <c r="N1594"/>
  <c r="O1594"/>
  <c r="Q1594"/>
  <c r="C1595"/>
  <c r="D1595"/>
  <c r="M1595"/>
  <c r="N1595"/>
  <c r="O1595"/>
  <c r="Q1595"/>
  <c r="C1596"/>
  <c r="D1596"/>
  <c r="M1596"/>
  <c r="N1596"/>
  <c r="O1596"/>
  <c r="Q1596"/>
  <c r="C1597"/>
  <c r="D1597"/>
  <c r="M1597"/>
  <c r="N1597"/>
  <c r="O1597"/>
  <c r="Q1597"/>
  <c r="C1598"/>
  <c r="D1598"/>
  <c r="M1598"/>
  <c r="N1598"/>
  <c r="O1598"/>
  <c r="Q1598"/>
  <c r="C1599"/>
  <c r="D1599"/>
  <c r="M1599"/>
  <c r="N1599"/>
  <c r="O1599"/>
  <c r="Q1599"/>
  <c r="C1600"/>
  <c r="D1600"/>
  <c r="M1600"/>
  <c r="N1600"/>
  <c r="O1600"/>
  <c r="Q1600"/>
  <c r="C1601"/>
  <c r="D1601"/>
  <c r="M1601"/>
  <c r="N1601"/>
  <c r="O1601"/>
  <c r="Q1601"/>
  <c r="C1602"/>
  <c r="D1602"/>
  <c r="M1602"/>
  <c r="N1602"/>
  <c r="O1602"/>
  <c r="Q1602"/>
  <c r="C1603"/>
  <c r="D1603"/>
  <c r="M1603"/>
  <c r="N1603"/>
  <c r="O1603"/>
  <c r="Q1603"/>
  <c r="C1604"/>
  <c r="D1604"/>
  <c r="M1604"/>
  <c r="N1604"/>
  <c r="O1604"/>
  <c r="Q1604"/>
  <c r="C1605"/>
  <c r="D1605"/>
  <c r="M1605"/>
  <c r="N1605"/>
  <c r="O1605"/>
  <c r="Q1605"/>
  <c r="C1606"/>
  <c r="D1606"/>
  <c r="M1606"/>
  <c r="N1606"/>
  <c r="O1606"/>
  <c r="Q1606"/>
  <c r="C1607"/>
  <c r="D1607"/>
  <c r="M1607"/>
  <c r="N1607"/>
  <c r="O1607"/>
  <c r="Q1607"/>
  <c r="C1608"/>
  <c r="D1608"/>
  <c r="M1608"/>
  <c r="N1608"/>
  <c r="O1608"/>
  <c r="Q1608"/>
  <c r="C1609"/>
  <c r="D1609"/>
  <c r="M1609"/>
  <c r="N1609"/>
  <c r="O1609"/>
  <c r="Q1609"/>
  <c r="C1610"/>
  <c r="D1610"/>
  <c r="M1610"/>
  <c r="N1610"/>
  <c r="O1610"/>
  <c r="Q1610"/>
  <c r="C1611"/>
  <c r="D1611"/>
  <c r="M1611"/>
  <c r="N1611"/>
  <c r="O1611"/>
  <c r="Q1611"/>
  <c r="C1612"/>
  <c r="D1612"/>
  <c r="M1612"/>
  <c r="N1612"/>
  <c r="O1612"/>
  <c r="Q1612"/>
  <c r="C1613"/>
  <c r="D1613"/>
  <c r="M1613"/>
  <c r="N1613"/>
  <c r="O1613"/>
  <c r="Q1613"/>
  <c r="C1614"/>
  <c r="D1614"/>
  <c r="M1614"/>
  <c r="N1614"/>
  <c r="O1614"/>
  <c r="Q1614"/>
  <c r="C1615"/>
  <c r="D1615"/>
  <c r="M1615"/>
  <c r="N1615"/>
  <c r="O1615"/>
  <c r="Q1615"/>
  <c r="C1616"/>
  <c r="D1616"/>
  <c r="M1616"/>
  <c r="N1616"/>
  <c r="O1616"/>
  <c r="Q1616"/>
  <c r="C1617"/>
  <c r="D1617"/>
  <c r="M1617"/>
  <c r="N1617"/>
  <c r="O1617"/>
  <c r="Q1617"/>
  <c r="C1618"/>
  <c r="D1618"/>
  <c r="M1618"/>
  <c r="N1618"/>
  <c r="O1618"/>
  <c r="Q1618"/>
  <c r="C1619"/>
  <c r="D1619"/>
  <c r="M1619"/>
  <c r="N1619"/>
  <c r="O1619"/>
  <c r="Q1619"/>
  <c r="C1620"/>
  <c r="D1620"/>
  <c r="M1620"/>
  <c r="N1620"/>
  <c r="O1620"/>
  <c r="Q1620"/>
  <c r="C1621"/>
  <c r="D1621"/>
  <c r="M1621"/>
  <c r="N1621"/>
  <c r="O1621"/>
  <c r="Q1621"/>
  <c r="C1622"/>
  <c r="D1622"/>
  <c r="M1622"/>
  <c r="N1622"/>
  <c r="O1622"/>
  <c r="Q1622"/>
  <c r="C1623"/>
  <c r="D1623"/>
  <c r="M1623"/>
  <c r="N1623"/>
  <c r="O1623"/>
  <c r="Q1623"/>
  <c r="C1624"/>
  <c r="D1624"/>
  <c r="M1624"/>
  <c r="N1624"/>
  <c r="O1624"/>
  <c r="Q1624"/>
  <c r="C1625"/>
  <c r="D1625"/>
  <c r="M1625"/>
  <c r="N1625"/>
  <c r="O1625"/>
  <c r="Q1625"/>
  <c r="C1626"/>
  <c r="D1626"/>
  <c r="M1626"/>
  <c r="N1626"/>
  <c r="O1626"/>
  <c r="Q1626"/>
  <c r="C1627"/>
  <c r="D1627"/>
  <c r="M1627"/>
  <c r="N1627"/>
  <c r="O1627"/>
  <c r="Q1627"/>
  <c r="C1628"/>
  <c r="D1628"/>
  <c r="M1628"/>
  <c r="N1628"/>
  <c r="O1628"/>
  <c r="Q1628"/>
  <c r="C1629"/>
  <c r="D1629"/>
  <c r="M1629"/>
  <c r="N1629"/>
  <c r="O1629"/>
  <c r="Q1629"/>
  <c r="C1630"/>
  <c r="D1630"/>
  <c r="M1630"/>
  <c r="N1630"/>
  <c r="O1630"/>
  <c r="Q1630"/>
  <c r="C1631"/>
  <c r="D1631"/>
  <c r="M1631"/>
  <c r="N1631"/>
  <c r="O1631"/>
  <c r="Q1631"/>
  <c r="C1632"/>
  <c r="D1632"/>
  <c r="M1632"/>
  <c r="N1632"/>
  <c r="O1632"/>
  <c r="Q1632"/>
  <c r="C1633"/>
  <c r="D1633"/>
  <c r="M1633"/>
  <c r="N1633"/>
  <c r="O1633"/>
  <c r="Q1633"/>
  <c r="C1634"/>
  <c r="D1634"/>
  <c r="M1634"/>
  <c r="N1634"/>
  <c r="O1634"/>
  <c r="Q1634"/>
  <c r="C1635"/>
  <c r="D1635"/>
  <c r="M1635"/>
  <c r="N1635"/>
  <c r="O1635"/>
  <c r="Q1635"/>
  <c r="C1636"/>
  <c r="D1636"/>
  <c r="M1636"/>
  <c r="N1636"/>
  <c r="O1636"/>
  <c r="Q1636"/>
  <c r="C1637"/>
  <c r="D1637"/>
  <c r="M1637"/>
  <c r="N1637"/>
  <c r="O1637"/>
  <c r="Q1637"/>
  <c r="C1638"/>
  <c r="D1638"/>
  <c r="M1638"/>
  <c r="N1638"/>
  <c r="O1638"/>
  <c r="Q1638"/>
  <c r="C1639"/>
  <c r="D1639"/>
  <c r="M1639"/>
  <c r="N1639"/>
  <c r="O1639"/>
  <c r="Q1639"/>
  <c r="C1640"/>
  <c r="D1640"/>
  <c r="M1640"/>
  <c r="N1640"/>
  <c r="O1640"/>
  <c r="Q1640"/>
  <c r="C1641"/>
  <c r="D1641"/>
  <c r="M1641"/>
  <c r="N1641"/>
  <c r="O1641"/>
  <c r="Q1641"/>
  <c r="C1642"/>
  <c r="D1642"/>
  <c r="M1642"/>
  <c r="N1642"/>
  <c r="O1642"/>
  <c r="Q1642"/>
  <c r="C1643"/>
  <c r="D1643"/>
  <c r="M1643"/>
  <c r="N1643"/>
  <c r="O1643"/>
  <c r="Q1643"/>
  <c r="C1644"/>
  <c r="D1644"/>
  <c r="M1644"/>
  <c r="N1644"/>
  <c r="O1644"/>
  <c r="Q1644"/>
  <c r="C1645"/>
  <c r="D1645"/>
  <c r="M1645"/>
  <c r="N1645"/>
  <c r="O1645"/>
  <c r="Q1645"/>
  <c r="C1646"/>
  <c r="D1646"/>
  <c r="M1646"/>
  <c r="N1646"/>
  <c r="O1646"/>
  <c r="Q1646"/>
  <c r="C1647"/>
  <c r="D1647"/>
  <c r="M1647"/>
  <c r="N1647"/>
  <c r="O1647"/>
  <c r="Q1647"/>
  <c r="C1648"/>
  <c r="D1648"/>
  <c r="M1648"/>
  <c r="N1648"/>
  <c r="O1648"/>
  <c r="Q1648"/>
  <c r="C1649"/>
  <c r="D1649"/>
  <c r="M1649"/>
  <c r="N1649"/>
  <c r="O1649"/>
  <c r="Q1649"/>
  <c r="C1650"/>
  <c r="D1650"/>
  <c r="M1650"/>
  <c r="N1650"/>
  <c r="O1650"/>
  <c r="Q1650"/>
  <c r="C1651"/>
  <c r="D1651"/>
  <c r="M1651"/>
  <c r="N1651"/>
  <c r="O1651"/>
  <c r="Q1651"/>
  <c r="C1652"/>
  <c r="D1652"/>
  <c r="M1652"/>
  <c r="N1652"/>
  <c r="O1652"/>
  <c r="Q1652"/>
  <c r="C1653"/>
  <c r="D1653"/>
  <c r="M1653"/>
  <c r="N1653"/>
  <c r="O1653"/>
  <c r="Q1653"/>
  <c r="C1654"/>
  <c r="D1654"/>
  <c r="M1654"/>
  <c r="N1654"/>
  <c r="O1654"/>
  <c r="Q1654"/>
  <c r="C1655"/>
  <c r="D1655"/>
  <c r="M1655"/>
  <c r="N1655"/>
  <c r="O1655"/>
  <c r="Q1655"/>
  <c r="C1656"/>
  <c r="D1656"/>
  <c r="M1656"/>
  <c r="N1656"/>
  <c r="O1656"/>
  <c r="Q1656"/>
  <c r="C1657"/>
  <c r="D1657"/>
  <c r="M1657"/>
  <c r="N1657"/>
  <c r="O1657"/>
  <c r="Q1657"/>
  <c r="C1658"/>
  <c r="D1658"/>
  <c r="M1658"/>
  <c r="N1658"/>
  <c r="O1658"/>
  <c r="Q1658"/>
  <c r="C1659"/>
  <c r="D1659"/>
  <c r="M1659"/>
  <c r="N1659"/>
  <c r="O1659"/>
  <c r="Q1659"/>
  <c r="C1660"/>
  <c r="D1660"/>
  <c r="M1660"/>
  <c r="N1660"/>
  <c r="O1660"/>
  <c r="Q1660"/>
  <c r="C1661"/>
  <c r="D1661"/>
  <c r="M1661"/>
  <c r="N1661"/>
  <c r="O1661"/>
  <c r="Q1661"/>
  <c r="C1662"/>
  <c r="D1662"/>
  <c r="M1662"/>
  <c r="N1662"/>
  <c r="O1662"/>
  <c r="Q1662"/>
  <c r="C1663"/>
  <c r="D1663"/>
  <c r="M1663"/>
  <c r="N1663"/>
  <c r="O1663"/>
  <c r="Q1663"/>
  <c r="C1664"/>
  <c r="D1664"/>
  <c r="M1664"/>
  <c r="N1664"/>
  <c r="O1664"/>
  <c r="Q1664"/>
  <c r="C1665"/>
  <c r="D1665"/>
  <c r="M1665"/>
  <c r="N1665"/>
  <c r="O1665"/>
  <c r="Q1665"/>
  <c r="C1666"/>
  <c r="D1666"/>
  <c r="M1666"/>
  <c r="N1666"/>
  <c r="O1666"/>
  <c r="Q1666"/>
  <c r="C1667"/>
  <c r="D1667"/>
  <c r="M1667"/>
  <c r="N1667"/>
  <c r="O1667"/>
  <c r="Q1667"/>
  <c r="C1668"/>
  <c r="D1668"/>
  <c r="M1668"/>
  <c r="N1668"/>
  <c r="O1668"/>
  <c r="Q1668"/>
  <c r="C1669"/>
  <c r="D1669"/>
  <c r="M1669"/>
  <c r="N1669"/>
  <c r="O1669"/>
  <c r="Q1669"/>
  <c r="C1670"/>
  <c r="D1670"/>
  <c r="M1670"/>
  <c r="N1670"/>
  <c r="O1670"/>
  <c r="Q1670"/>
  <c r="C1671"/>
  <c r="D1671"/>
  <c r="M1671"/>
  <c r="N1671"/>
  <c r="O1671"/>
  <c r="Q1671"/>
  <c r="C1672"/>
  <c r="D1672"/>
  <c r="M1672"/>
  <c r="N1672"/>
  <c r="O1672"/>
  <c r="Q1672"/>
  <c r="C1673"/>
  <c r="D1673"/>
  <c r="M1673"/>
  <c r="N1673"/>
  <c r="O1673"/>
  <c r="Q1673"/>
  <c r="C1674"/>
  <c r="D1674"/>
  <c r="M1674"/>
  <c r="N1674"/>
  <c r="O1674"/>
  <c r="Q1674"/>
  <c r="C1675"/>
  <c r="D1675"/>
  <c r="M1675"/>
  <c r="N1675"/>
  <c r="O1675"/>
  <c r="Q1675"/>
  <c r="C1676"/>
  <c r="D1676"/>
  <c r="M1676"/>
  <c r="N1676"/>
  <c r="O1676"/>
  <c r="Q1676"/>
  <c r="C1677"/>
  <c r="D1677"/>
  <c r="M1677"/>
  <c r="N1677"/>
  <c r="O1677"/>
  <c r="Q1677"/>
  <c r="C1678"/>
  <c r="D1678"/>
  <c r="M1678"/>
  <c r="N1678"/>
  <c r="O1678"/>
  <c r="Q1678"/>
  <c r="C1679"/>
  <c r="D1679"/>
  <c r="M1679"/>
  <c r="N1679"/>
  <c r="O1679"/>
  <c r="Q1679"/>
  <c r="C1680"/>
  <c r="D1680"/>
  <c r="M1680"/>
  <c r="N1680"/>
  <c r="O1680"/>
  <c r="Q1680"/>
  <c r="C1681"/>
  <c r="D1681"/>
  <c r="M1681"/>
  <c r="N1681"/>
  <c r="O1681"/>
  <c r="Q1681"/>
  <c r="C1682"/>
  <c r="D1682"/>
  <c r="M1682"/>
  <c r="N1682"/>
  <c r="O1682"/>
  <c r="Q1682"/>
  <c r="C1683"/>
  <c r="D1683"/>
  <c r="M1683"/>
  <c r="N1683"/>
  <c r="O1683"/>
  <c r="Q1683"/>
  <c r="C1684"/>
  <c r="D1684"/>
  <c r="M1684"/>
  <c r="N1684"/>
  <c r="O1684"/>
  <c r="Q1684"/>
  <c r="C1685"/>
  <c r="D1685"/>
  <c r="M1685"/>
  <c r="N1685"/>
  <c r="O1685"/>
  <c r="Q1685"/>
  <c r="C1686"/>
  <c r="D1686"/>
  <c r="M1686"/>
  <c r="N1686"/>
  <c r="O1686"/>
  <c r="Q1686"/>
  <c r="C1687"/>
  <c r="D1687"/>
  <c r="M1687"/>
  <c r="N1687"/>
  <c r="O1687"/>
  <c r="Q1687"/>
  <c r="C1688"/>
  <c r="D1688"/>
  <c r="M1688"/>
  <c r="N1688"/>
  <c r="O1688"/>
  <c r="Q1688"/>
  <c r="C1689"/>
  <c r="D1689"/>
  <c r="M1689"/>
  <c r="N1689"/>
  <c r="O1689"/>
  <c r="Q1689"/>
  <c r="C1690"/>
  <c r="D1690"/>
  <c r="M1690"/>
  <c r="N1690"/>
  <c r="O1690"/>
  <c r="Q1690"/>
  <c r="C1691"/>
  <c r="D1691"/>
  <c r="M1691"/>
  <c r="N1691"/>
  <c r="O1691"/>
  <c r="Q1691"/>
  <c r="C1692"/>
  <c r="D1692"/>
  <c r="M1692"/>
  <c r="N1692"/>
  <c r="O1692"/>
  <c r="Q1692"/>
  <c r="C1693"/>
  <c r="D1693"/>
  <c r="M1693"/>
  <c r="N1693"/>
  <c r="O1693"/>
  <c r="Q1693"/>
  <c r="C1694"/>
  <c r="D1694"/>
  <c r="M1694"/>
  <c r="N1694"/>
  <c r="O1694"/>
  <c r="Q1694"/>
  <c r="C1695"/>
  <c r="D1695"/>
  <c r="M1695"/>
  <c r="N1695"/>
  <c r="O1695"/>
  <c r="Q1695"/>
  <c r="C1696"/>
  <c r="D1696"/>
  <c r="M1696"/>
  <c r="N1696"/>
  <c r="O1696"/>
  <c r="Q1696"/>
  <c r="C1697"/>
  <c r="D1697"/>
  <c r="M1697"/>
  <c r="N1697"/>
  <c r="O1697"/>
  <c r="Q1697"/>
  <c r="C1698"/>
  <c r="D1698"/>
  <c r="M1698"/>
  <c r="N1698"/>
  <c r="O1698"/>
  <c r="Q1698"/>
  <c r="C1699"/>
  <c r="D1699"/>
  <c r="M1699"/>
  <c r="N1699"/>
  <c r="O1699"/>
  <c r="Q1699"/>
  <c r="C1700"/>
  <c r="D1700"/>
  <c r="M1700"/>
  <c r="N1700"/>
  <c r="O1700"/>
  <c r="Q1700"/>
  <c r="C1701"/>
  <c r="D1701"/>
  <c r="M1701"/>
  <c r="N1701"/>
  <c r="O1701"/>
  <c r="Q1701"/>
  <c r="C1702"/>
  <c r="D1702"/>
  <c r="M1702"/>
  <c r="N1702"/>
  <c r="O1702"/>
  <c r="Q1702"/>
  <c r="C1703"/>
  <c r="D1703"/>
  <c r="M1703"/>
  <c r="N1703"/>
  <c r="O1703"/>
  <c r="Q1703"/>
  <c r="C1704"/>
  <c r="D1704"/>
  <c r="M1704"/>
  <c r="N1704"/>
  <c r="O1704"/>
  <c r="Q1704"/>
  <c r="C1705"/>
  <c r="D1705"/>
  <c r="M1705"/>
  <c r="N1705"/>
  <c r="O1705"/>
  <c r="Q1705"/>
  <c r="C1706"/>
  <c r="D1706"/>
  <c r="M1706"/>
  <c r="N1706"/>
  <c r="O1706"/>
  <c r="Q1706"/>
  <c r="C1707"/>
  <c r="D1707"/>
  <c r="M1707"/>
  <c r="N1707"/>
  <c r="O1707"/>
  <c r="Q1707"/>
  <c r="C1708"/>
  <c r="D1708"/>
  <c r="M1708"/>
  <c r="N1708"/>
  <c r="O1708"/>
  <c r="Q1708"/>
  <c r="C1709"/>
  <c r="D1709"/>
  <c r="M1709"/>
  <c r="N1709"/>
  <c r="O1709"/>
  <c r="Q1709"/>
  <c r="C1710"/>
  <c r="D1710"/>
  <c r="M1710"/>
  <c r="N1710"/>
  <c r="O1710"/>
  <c r="Q1710"/>
  <c r="C1711"/>
  <c r="D1711"/>
  <c r="M1711"/>
  <c r="N1711"/>
  <c r="O1711"/>
  <c r="Q1711"/>
  <c r="C1712"/>
  <c r="D1712"/>
  <c r="M1712"/>
  <c r="N1712"/>
  <c r="O1712"/>
  <c r="Q1712"/>
  <c r="C1713"/>
  <c r="D1713"/>
  <c r="M1713"/>
  <c r="N1713"/>
  <c r="O1713"/>
  <c r="Q1713"/>
  <c r="C1714"/>
  <c r="D1714"/>
  <c r="M1714"/>
  <c r="N1714"/>
  <c r="O1714"/>
  <c r="Q1714"/>
  <c r="C1715"/>
  <c r="D1715"/>
  <c r="M1715"/>
  <c r="N1715"/>
  <c r="O1715"/>
  <c r="Q1715"/>
  <c r="C1716"/>
  <c r="D1716"/>
  <c r="M1716"/>
  <c r="N1716"/>
  <c r="O1716"/>
  <c r="Q1716"/>
  <c r="C1717"/>
  <c r="D1717"/>
  <c r="M1717"/>
  <c r="N1717"/>
  <c r="O1717"/>
  <c r="Q1717"/>
  <c r="C1718"/>
  <c r="D1718"/>
  <c r="M1718"/>
  <c r="N1718"/>
  <c r="O1718"/>
  <c r="Q1718"/>
  <c r="C1719"/>
  <c r="D1719"/>
  <c r="M1719"/>
  <c r="N1719"/>
  <c r="O1719"/>
  <c r="Q1719"/>
  <c r="C1720"/>
  <c r="D1720"/>
  <c r="M1720"/>
  <c r="N1720"/>
  <c r="O1720"/>
  <c r="Q1720"/>
  <c r="C1721"/>
  <c r="D1721"/>
  <c r="M1721"/>
  <c r="N1721"/>
  <c r="O1721"/>
  <c r="Q1721"/>
  <c r="C1722"/>
  <c r="D1722"/>
  <c r="M1722"/>
  <c r="N1722"/>
  <c r="O1722"/>
  <c r="Q1722"/>
  <c r="C1723"/>
  <c r="D1723"/>
  <c r="M1723"/>
  <c r="N1723"/>
  <c r="O1723"/>
  <c r="Q1723"/>
  <c r="C1724"/>
  <c r="D1724"/>
  <c r="M1724"/>
  <c r="N1724"/>
  <c r="O1724"/>
  <c r="Q1724"/>
  <c r="C1725"/>
  <c r="D1725"/>
  <c r="M1725"/>
  <c r="N1725"/>
  <c r="O1725"/>
  <c r="Q1725"/>
  <c r="C1726"/>
  <c r="D1726"/>
  <c r="M1726"/>
  <c r="N1726"/>
  <c r="O1726"/>
  <c r="Q1726"/>
  <c r="C1727"/>
  <c r="D1727"/>
  <c r="M1727"/>
  <c r="N1727"/>
  <c r="O1727"/>
  <c r="Q1727"/>
  <c r="C1728"/>
  <c r="D1728"/>
  <c r="M1728"/>
  <c r="N1728"/>
  <c r="O1728"/>
  <c r="Q1728"/>
  <c r="C1729"/>
  <c r="D1729"/>
  <c r="M1729"/>
  <c r="N1729"/>
  <c r="O1729"/>
  <c r="Q1729"/>
  <c r="C1730"/>
  <c r="D1730"/>
  <c r="M1730"/>
  <c r="N1730"/>
  <c r="O1730"/>
  <c r="Q1730"/>
  <c r="C1731"/>
  <c r="D1731"/>
  <c r="M1731"/>
  <c r="N1731"/>
  <c r="O1731"/>
  <c r="Q1731"/>
  <c r="C1732"/>
  <c r="D1732"/>
  <c r="M1732"/>
  <c r="N1732"/>
  <c r="O1732"/>
  <c r="Q1732"/>
  <c r="C1733"/>
  <c r="D1733"/>
  <c r="M1733"/>
  <c r="N1733"/>
  <c r="O1733"/>
  <c r="Q1733"/>
  <c r="C1734"/>
  <c r="D1734"/>
  <c r="M1734"/>
  <c r="N1734"/>
  <c r="O1734"/>
  <c r="Q1734"/>
  <c r="C1735"/>
  <c r="D1735"/>
  <c r="M1735"/>
  <c r="N1735"/>
  <c r="O1735"/>
  <c r="Q1735"/>
  <c r="C1736"/>
  <c r="D1736"/>
  <c r="M1736"/>
  <c r="N1736"/>
  <c r="O1736"/>
  <c r="Q1736"/>
  <c r="C1737"/>
  <c r="D1737"/>
  <c r="M1737"/>
  <c r="N1737"/>
  <c r="O1737"/>
  <c r="Q1737"/>
  <c r="C1738"/>
  <c r="D1738"/>
  <c r="M1738"/>
  <c r="N1738"/>
  <c r="O1738"/>
  <c r="Q1738"/>
  <c r="C1739"/>
  <c r="D1739"/>
  <c r="M1739"/>
  <c r="N1739"/>
  <c r="O1739"/>
  <c r="Q1739"/>
  <c r="C1740"/>
  <c r="D1740"/>
  <c r="M1740"/>
  <c r="N1740"/>
  <c r="O1740"/>
  <c r="Q1740"/>
  <c r="C1741"/>
  <c r="D1741"/>
  <c r="M1741"/>
  <c r="N1741"/>
  <c r="O1741"/>
  <c r="Q1741"/>
  <c r="C1742"/>
  <c r="D1742"/>
  <c r="M1742"/>
  <c r="N1742"/>
  <c r="O1742"/>
  <c r="Q1742"/>
  <c r="C1743"/>
  <c r="D1743"/>
  <c r="M1743"/>
  <c r="N1743"/>
  <c r="O1743"/>
  <c r="Q1743"/>
  <c r="C1744"/>
  <c r="D1744"/>
  <c r="M1744"/>
  <c r="N1744"/>
  <c r="O1744"/>
  <c r="Q1744"/>
  <c r="C1745"/>
  <c r="D1745"/>
  <c r="M1745"/>
  <c r="N1745"/>
  <c r="O1745"/>
  <c r="Q1745"/>
  <c r="C1746"/>
  <c r="D1746"/>
  <c r="M1746"/>
  <c r="N1746"/>
  <c r="O1746"/>
  <c r="Q1746"/>
  <c r="C1747"/>
  <c r="D1747"/>
  <c r="M1747"/>
  <c r="N1747"/>
  <c r="O1747"/>
  <c r="Q1747"/>
  <c r="C1748"/>
  <c r="D1748"/>
  <c r="M1748"/>
  <c r="N1748"/>
  <c r="O1748"/>
  <c r="Q1748"/>
  <c r="C1749"/>
  <c r="D1749"/>
  <c r="M1749"/>
  <c r="N1749"/>
  <c r="O1749"/>
  <c r="Q1749"/>
  <c r="C1750"/>
  <c r="D1750"/>
  <c r="M1750"/>
  <c r="N1750"/>
  <c r="O1750"/>
  <c r="Q1750"/>
  <c r="C1751"/>
  <c r="D1751"/>
  <c r="M1751"/>
  <c r="N1751"/>
  <c r="O1751"/>
  <c r="Q1751"/>
  <c r="C1752"/>
  <c r="D1752"/>
  <c r="M1752"/>
  <c r="N1752"/>
  <c r="O1752"/>
  <c r="Q1752"/>
  <c r="C1753"/>
  <c r="D1753"/>
  <c r="M1753"/>
  <c r="N1753"/>
  <c r="O1753"/>
  <c r="Q1753"/>
  <c r="C1754"/>
  <c r="D1754"/>
  <c r="M1754"/>
  <c r="N1754"/>
  <c r="O1754"/>
  <c r="Q1754"/>
  <c r="C1755"/>
  <c r="D1755"/>
  <c r="M1755"/>
  <c r="N1755"/>
  <c r="O1755"/>
  <c r="Q1755"/>
  <c r="C1756"/>
  <c r="D1756"/>
  <c r="M1756"/>
  <c r="N1756"/>
  <c r="O1756"/>
  <c r="Q1756"/>
  <c r="C1757"/>
  <c r="D1757"/>
  <c r="M1757"/>
  <c r="N1757"/>
  <c r="O1757"/>
  <c r="Q1757"/>
  <c r="C1758"/>
  <c r="D1758"/>
  <c r="M1758"/>
  <c r="N1758"/>
  <c r="O1758"/>
  <c r="Q1758"/>
  <c r="C1759"/>
  <c r="D1759"/>
  <c r="M1759"/>
  <c r="N1759"/>
  <c r="O1759"/>
  <c r="Q1759"/>
  <c r="C1760"/>
  <c r="D1760"/>
  <c r="M1760"/>
  <c r="N1760"/>
  <c r="O1760"/>
  <c r="Q1760"/>
  <c r="C1761"/>
  <c r="D1761"/>
  <c r="M1761"/>
  <c r="N1761"/>
  <c r="O1761"/>
  <c r="Q1761"/>
  <c r="C1762"/>
  <c r="D1762"/>
  <c r="M1762"/>
  <c r="N1762"/>
  <c r="O1762"/>
  <c r="Q1762"/>
  <c r="C1763"/>
  <c r="D1763"/>
  <c r="M1763"/>
  <c r="N1763"/>
  <c r="O1763"/>
  <c r="Q1763"/>
  <c r="C1764"/>
  <c r="D1764"/>
  <c r="M1764"/>
  <c r="N1764"/>
  <c r="O1764"/>
  <c r="Q1764"/>
  <c r="C1765"/>
  <c r="D1765"/>
  <c r="M1765"/>
  <c r="N1765"/>
  <c r="O1765"/>
  <c r="Q1765"/>
  <c r="C1766"/>
  <c r="D1766"/>
  <c r="M1766"/>
  <c r="N1766"/>
  <c r="O1766"/>
  <c r="Q1766"/>
  <c r="C1767"/>
  <c r="D1767"/>
  <c r="M1767"/>
  <c r="N1767"/>
  <c r="O1767"/>
  <c r="Q1767"/>
  <c r="C1768"/>
  <c r="D1768"/>
  <c r="M1768"/>
  <c r="N1768"/>
  <c r="O1768"/>
  <c r="Q1768"/>
  <c r="C1769"/>
  <c r="D1769"/>
  <c r="M1769"/>
  <c r="N1769"/>
  <c r="O1769"/>
  <c r="Q1769"/>
  <c r="C1770"/>
  <c r="D1770"/>
  <c r="M1770"/>
  <c r="N1770"/>
  <c r="O1770"/>
  <c r="Q1770"/>
  <c r="C1771"/>
  <c r="D1771"/>
  <c r="M1771"/>
  <c r="N1771"/>
  <c r="O1771"/>
  <c r="Q1771"/>
  <c r="C1772"/>
  <c r="D1772"/>
  <c r="M1772"/>
  <c r="N1772"/>
  <c r="O1772"/>
  <c r="Q1772"/>
  <c r="C1773"/>
  <c r="D1773"/>
  <c r="M1773"/>
  <c r="N1773"/>
  <c r="O1773"/>
  <c r="Q1773"/>
  <c r="C1774"/>
  <c r="D1774"/>
  <c r="M1774"/>
  <c r="N1774"/>
  <c r="O1774"/>
  <c r="Q1774"/>
  <c r="C1775"/>
  <c r="D1775"/>
  <c r="M1775"/>
  <c r="N1775"/>
  <c r="O1775"/>
  <c r="Q1775"/>
  <c r="C1776"/>
  <c r="D1776"/>
  <c r="M1776"/>
  <c r="N1776"/>
  <c r="O1776"/>
  <c r="Q1776"/>
  <c r="C1777"/>
  <c r="D1777"/>
  <c r="M1777"/>
  <c r="N1777"/>
  <c r="O1777"/>
  <c r="Q1777"/>
  <c r="C1778"/>
  <c r="D1778"/>
  <c r="M1778"/>
  <c r="N1778"/>
  <c r="O1778"/>
  <c r="Q1778"/>
  <c r="C1779"/>
  <c r="D1779"/>
  <c r="M1779"/>
  <c r="N1779"/>
  <c r="O1779"/>
  <c r="Q1779"/>
  <c r="C1780"/>
  <c r="D1780"/>
  <c r="M1780"/>
  <c r="N1780"/>
  <c r="O1780"/>
  <c r="Q1780"/>
  <c r="C1781"/>
  <c r="D1781"/>
  <c r="M1781"/>
  <c r="N1781"/>
  <c r="O1781"/>
  <c r="Q1781"/>
  <c r="C1782"/>
  <c r="D1782"/>
  <c r="M1782"/>
  <c r="N1782"/>
  <c r="O1782"/>
  <c r="Q1782"/>
  <c r="C1783"/>
  <c r="D1783"/>
  <c r="M1783"/>
  <c r="N1783"/>
  <c r="O1783"/>
  <c r="Q1783"/>
  <c r="C1784"/>
  <c r="D1784"/>
  <c r="M1784"/>
  <c r="N1784"/>
  <c r="O1784"/>
  <c r="Q1784"/>
  <c r="C1785"/>
  <c r="D1785"/>
  <c r="M1785"/>
  <c r="N1785"/>
  <c r="O1785"/>
  <c r="Q1785"/>
  <c r="C1786"/>
  <c r="D1786"/>
  <c r="M1786"/>
  <c r="N1786"/>
  <c r="O1786"/>
  <c r="Q1786"/>
  <c r="C1787"/>
  <c r="D1787"/>
  <c r="M1787"/>
  <c r="N1787"/>
  <c r="O1787"/>
  <c r="Q1787"/>
  <c r="C1788"/>
  <c r="D1788"/>
  <c r="M1788"/>
  <c r="N1788"/>
  <c r="O1788"/>
  <c r="Q1788"/>
  <c r="C1789"/>
  <c r="D1789"/>
  <c r="M1789"/>
  <c r="N1789"/>
  <c r="O1789"/>
  <c r="Q1789"/>
  <c r="C1790"/>
  <c r="D1790"/>
  <c r="M1790"/>
  <c r="N1790"/>
  <c r="O1790"/>
  <c r="Q1790"/>
  <c r="C1791"/>
  <c r="D1791"/>
  <c r="M1791"/>
  <c r="N1791"/>
  <c r="O1791"/>
  <c r="Q1791"/>
  <c r="C1792"/>
  <c r="D1792"/>
  <c r="M1792"/>
  <c r="N1792"/>
  <c r="O1792"/>
  <c r="Q1792"/>
  <c r="C1793"/>
  <c r="D1793"/>
  <c r="M1793"/>
  <c r="N1793"/>
  <c r="O1793"/>
  <c r="Q1793"/>
  <c r="C1794"/>
  <c r="D1794"/>
  <c r="M1794"/>
  <c r="N1794"/>
  <c r="O1794"/>
  <c r="Q1794"/>
  <c r="C1795"/>
  <c r="D1795"/>
  <c r="M1795"/>
  <c r="N1795"/>
  <c r="O1795"/>
  <c r="Q1795"/>
  <c r="C1796"/>
  <c r="D1796"/>
  <c r="M1796"/>
  <c r="N1796"/>
  <c r="O1796"/>
  <c r="Q1796"/>
  <c r="C1797"/>
  <c r="D1797"/>
  <c r="M1797"/>
  <c r="N1797"/>
  <c r="O1797"/>
  <c r="Q1797"/>
  <c r="C1798"/>
  <c r="D1798"/>
  <c r="M1798"/>
  <c r="N1798"/>
  <c r="O1798"/>
  <c r="Q1798"/>
  <c r="C1799"/>
  <c r="D1799"/>
  <c r="M1799"/>
  <c r="N1799"/>
  <c r="O1799"/>
  <c r="Q1799"/>
  <c r="C1800"/>
  <c r="D1800"/>
  <c r="M1800"/>
  <c r="N1800"/>
  <c r="O1800"/>
  <c r="Q1800"/>
  <c r="C1801"/>
  <c r="D1801"/>
  <c r="M1801"/>
  <c r="N1801"/>
  <c r="O1801"/>
  <c r="Q1801"/>
  <c r="C1802"/>
  <c r="D1802"/>
  <c r="M1802"/>
  <c r="N1802"/>
  <c r="O1802"/>
  <c r="Q1802"/>
  <c r="C1803"/>
  <c r="D1803"/>
  <c r="M1803"/>
  <c r="N1803"/>
  <c r="O1803"/>
  <c r="Q1803"/>
  <c r="C1804"/>
  <c r="D1804"/>
  <c r="M1804"/>
  <c r="N1804"/>
  <c r="O1804"/>
  <c r="Q1804"/>
  <c r="C1805"/>
  <c r="D1805"/>
  <c r="M1805"/>
  <c r="N1805"/>
  <c r="O1805"/>
  <c r="Q1805"/>
  <c r="C1806"/>
  <c r="D1806"/>
  <c r="M1806"/>
  <c r="N1806"/>
  <c r="O1806"/>
  <c r="Q1806"/>
  <c r="C1807"/>
  <c r="D1807"/>
  <c r="M1807"/>
  <c r="N1807"/>
  <c r="O1807"/>
  <c r="Q1807"/>
  <c r="C1808"/>
  <c r="D1808"/>
  <c r="M1808"/>
  <c r="N1808"/>
  <c r="O1808"/>
  <c r="Q1808"/>
  <c r="C1809"/>
  <c r="D1809"/>
  <c r="M1809"/>
  <c r="N1809"/>
  <c r="O1809"/>
  <c r="Q1809"/>
  <c r="C1810"/>
  <c r="D1810"/>
  <c r="M1810"/>
  <c r="N1810"/>
  <c r="O1810"/>
  <c r="Q1810"/>
  <c r="C1811"/>
  <c r="D1811"/>
  <c r="M1811"/>
  <c r="N1811"/>
  <c r="O1811"/>
  <c r="Q1811"/>
  <c r="C1812"/>
  <c r="D1812"/>
  <c r="M1812"/>
  <c r="N1812"/>
  <c r="O1812"/>
  <c r="Q1812"/>
  <c r="C1813"/>
  <c r="D1813"/>
  <c r="M1813"/>
  <c r="N1813"/>
  <c r="O1813"/>
  <c r="Q1813"/>
  <c r="C1814"/>
  <c r="D1814"/>
  <c r="M1814"/>
  <c r="N1814"/>
  <c r="O1814"/>
  <c r="Q1814"/>
  <c r="C1815"/>
  <c r="D1815"/>
  <c r="M1815"/>
  <c r="N1815"/>
  <c r="O1815"/>
  <c r="Q1815"/>
  <c r="C1816"/>
  <c r="D1816"/>
  <c r="M1816"/>
  <c r="N1816"/>
  <c r="O1816"/>
  <c r="Q1816"/>
  <c r="C1817"/>
  <c r="D1817"/>
  <c r="M1817"/>
  <c r="N1817"/>
  <c r="O1817"/>
  <c r="Q1817"/>
  <c r="C1818"/>
  <c r="D1818"/>
  <c r="M1818"/>
  <c r="N1818"/>
  <c r="O1818"/>
  <c r="Q1818"/>
  <c r="C1819"/>
  <c r="D1819"/>
  <c r="M1819"/>
  <c r="N1819"/>
  <c r="O1819"/>
  <c r="Q1819"/>
  <c r="C1820"/>
  <c r="D1820"/>
  <c r="M1820"/>
  <c r="N1820"/>
  <c r="O1820"/>
  <c r="Q1820"/>
  <c r="C1821"/>
  <c r="D1821"/>
  <c r="M1821"/>
  <c r="N1821"/>
  <c r="O1821"/>
  <c r="Q1821"/>
  <c r="C1822"/>
  <c r="D1822"/>
  <c r="M1822"/>
  <c r="N1822"/>
  <c r="O1822"/>
  <c r="Q1822"/>
  <c r="C1823"/>
  <c r="D1823"/>
  <c r="M1823"/>
  <c r="N1823"/>
  <c r="O1823"/>
  <c r="Q1823"/>
  <c r="C1824"/>
  <c r="D1824"/>
  <c r="M1824"/>
  <c r="N1824"/>
  <c r="O1824"/>
  <c r="Q1824"/>
  <c r="C1825"/>
  <c r="D1825"/>
  <c r="M1825"/>
  <c r="N1825"/>
  <c r="O1825"/>
  <c r="Q1825"/>
  <c r="C1826"/>
  <c r="D1826"/>
  <c r="M1826"/>
  <c r="N1826"/>
  <c r="O1826"/>
  <c r="Q1826"/>
  <c r="C1827"/>
  <c r="D1827"/>
  <c r="M1827"/>
  <c r="N1827"/>
  <c r="O1827"/>
  <c r="Q1827"/>
  <c r="C1828"/>
  <c r="D1828"/>
  <c r="M1828"/>
  <c r="N1828"/>
  <c r="O1828"/>
  <c r="Q1828"/>
  <c r="C1829"/>
  <c r="D1829"/>
  <c r="M1829"/>
  <c r="N1829"/>
  <c r="O1829"/>
  <c r="Q1829"/>
  <c r="C1830"/>
  <c r="D1830"/>
  <c r="M1830"/>
  <c r="N1830"/>
  <c r="O1830"/>
  <c r="Q1830"/>
  <c r="C1831"/>
  <c r="D1831"/>
  <c r="M1831"/>
  <c r="N1831"/>
  <c r="O1831"/>
  <c r="Q1831"/>
  <c r="C1832"/>
  <c r="D1832"/>
  <c r="M1832"/>
  <c r="N1832"/>
  <c r="O1832"/>
  <c r="Q1832"/>
  <c r="C1833"/>
  <c r="D1833"/>
  <c r="M1833"/>
  <c r="N1833"/>
  <c r="O1833"/>
  <c r="Q1833"/>
  <c r="C1834"/>
  <c r="D1834"/>
  <c r="M1834"/>
  <c r="N1834"/>
  <c r="O1834"/>
  <c r="Q1834"/>
  <c r="C1835"/>
  <c r="D1835"/>
  <c r="M1835"/>
  <c r="N1835"/>
  <c r="O1835"/>
  <c r="Q1835"/>
  <c r="C1836"/>
  <c r="D1836"/>
  <c r="M1836"/>
  <c r="N1836"/>
  <c r="O1836"/>
  <c r="Q1836"/>
  <c r="C1837"/>
  <c r="D1837"/>
  <c r="M1837"/>
  <c r="N1837"/>
  <c r="O1837"/>
  <c r="Q1837"/>
  <c r="C1838"/>
  <c r="D1838"/>
  <c r="M1838"/>
  <c r="N1838"/>
  <c r="O1838"/>
  <c r="Q1838"/>
  <c r="C1839"/>
  <c r="D1839"/>
  <c r="M1839"/>
  <c r="N1839"/>
  <c r="O1839"/>
  <c r="Q1839"/>
  <c r="C1840"/>
  <c r="D1840"/>
  <c r="M1840"/>
  <c r="N1840"/>
  <c r="O1840"/>
  <c r="Q1840"/>
  <c r="C1841"/>
  <c r="D1841"/>
  <c r="M1841"/>
  <c r="N1841"/>
  <c r="O1841"/>
  <c r="Q1841"/>
  <c r="C1842"/>
  <c r="D1842"/>
  <c r="M1842"/>
  <c r="N1842"/>
  <c r="O1842"/>
  <c r="Q1842"/>
  <c r="C1843"/>
  <c r="D1843"/>
  <c r="M1843"/>
  <c r="N1843"/>
  <c r="O1843"/>
  <c r="Q1843"/>
  <c r="C1844"/>
  <c r="D1844"/>
  <c r="M1844"/>
  <c r="N1844"/>
  <c r="O1844"/>
  <c r="Q1844"/>
  <c r="C1845"/>
  <c r="D1845"/>
  <c r="M1845"/>
  <c r="N1845"/>
  <c r="O1845"/>
  <c r="Q1845"/>
  <c r="C1846"/>
  <c r="D1846"/>
  <c r="M1846"/>
  <c r="N1846"/>
  <c r="O1846"/>
  <c r="Q1846"/>
  <c r="C1847"/>
  <c r="D1847"/>
  <c r="M1847"/>
  <c r="N1847"/>
  <c r="O1847"/>
  <c r="Q1847"/>
  <c r="C1848"/>
  <c r="D1848"/>
  <c r="M1848"/>
  <c r="N1848"/>
  <c r="O1848"/>
  <c r="Q1848"/>
  <c r="C1849"/>
  <c r="D1849"/>
  <c r="M1849"/>
  <c r="N1849"/>
  <c r="O1849"/>
  <c r="Q1849"/>
  <c r="C1850"/>
  <c r="D1850"/>
  <c r="M1850"/>
  <c r="N1850"/>
  <c r="O1850"/>
  <c r="Q1850"/>
  <c r="C1851"/>
  <c r="D1851"/>
  <c r="M1851"/>
  <c r="N1851"/>
  <c r="O1851"/>
  <c r="Q1851"/>
  <c r="C1852"/>
  <c r="D1852"/>
  <c r="M1852"/>
  <c r="N1852"/>
  <c r="O1852"/>
  <c r="Q1852"/>
  <c r="C1853"/>
  <c r="D1853"/>
  <c r="M1853"/>
  <c r="N1853"/>
  <c r="O1853"/>
  <c r="Q1853"/>
  <c r="C1854"/>
  <c r="D1854"/>
  <c r="M1854"/>
  <c r="N1854"/>
  <c r="O1854"/>
  <c r="Q1854"/>
  <c r="C1855"/>
  <c r="D1855"/>
  <c r="M1855"/>
  <c r="N1855"/>
  <c r="O1855"/>
  <c r="Q1855"/>
  <c r="C1856"/>
  <c r="D1856"/>
  <c r="M1856"/>
  <c r="N1856"/>
  <c r="O1856"/>
  <c r="Q1856"/>
  <c r="C1857"/>
  <c r="D1857"/>
  <c r="M1857"/>
  <c r="N1857"/>
  <c r="O1857"/>
  <c r="Q1857"/>
  <c r="C1858"/>
  <c r="D1858"/>
  <c r="M1858"/>
  <c r="N1858"/>
  <c r="O1858"/>
  <c r="Q1858"/>
  <c r="C1859"/>
  <c r="D1859"/>
  <c r="M1859"/>
  <c r="N1859"/>
  <c r="O1859"/>
  <c r="Q1859"/>
  <c r="C1860"/>
  <c r="D1860"/>
  <c r="M1860"/>
  <c r="N1860"/>
  <c r="O1860"/>
  <c r="Q1860"/>
  <c r="C1861"/>
  <c r="D1861"/>
  <c r="M1861"/>
  <c r="N1861"/>
  <c r="O1861"/>
  <c r="Q1861"/>
  <c r="C1862"/>
  <c r="D1862"/>
  <c r="M1862"/>
  <c r="N1862"/>
  <c r="O1862"/>
  <c r="Q1862"/>
  <c r="C1863"/>
  <c r="D1863"/>
  <c r="M1863"/>
  <c r="N1863"/>
  <c r="O1863"/>
  <c r="Q1863"/>
  <c r="C1864"/>
  <c r="D1864"/>
  <c r="M1864"/>
  <c r="N1864"/>
  <c r="O1864"/>
  <c r="Q1864"/>
  <c r="C1865"/>
  <c r="D1865"/>
  <c r="M1865"/>
  <c r="N1865"/>
  <c r="O1865"/>
  <c r="Q1865"/>
  <c r="C1866"/>
  <c r="D1866"/>
  <c r="M1866"/>
  <c r="N1866"/>
  <c r="O1866"/>
  <c r="Q1866"/>
  <c r="C1867"/>
  <c r="D1867"/>
  <c r="M1867"/>
  <c r="N1867"/>
  <c r="O1867"/>
  <c r="Q1867"/>
  <c r="C1868"/>
  <c r="D1868"/>
  <c r="M1868"/>
  <c r="N1868"/>
  <c r="O1868"/>
  <c r="Q1868"/>
  <c r="C1869"/>
  <c r="D1869"/>
  <c r="M1869"/>
  <c r="N1869"/>
  <c r="O1869"/>
  <c r="Q1869"/>
  <c r="C1870"/>
  <c r="D1870"/>
  <c r="M1870"/>
  <c r="N1870"/>
  <c r="O1870"/>
  <c r="Q1870"/>
  <c r="C1871"/>
  <c r="D1871"/>
  <c r="M1871"/>
  <c r="N1871"/>
  <c r="O1871"/>
  <c r="Q1871"/>
  <c r="C1872"/>
  <c r="D1872"/>
  <c r="M1872"/>
  <c r="N1872"/>
  <c r="O1872"/>
  <c r="Q1872"/>
  <c r="C1873"/>
  <c r="D1873"/>
  <c r="M1873"/>
  <c r="N1873"/>
  <c r="O1873"/>
  <c r="Q1873"/>
  <c r="C1874"/>
  <c r="D1874"/>
  <c r="M1874"/>
  <c r="N1874"/>
  <c r="O1874"/>
  <c r="Q1874"/>
  <c r="C1875"/>
  <c r="D1875"/>
  <c r="M1875"/>
  <c r="N1875"/>
  <c r="O1875"/>
  <c r="Q1875"/>
  <c r="C1876"/>
  <c r="D1876"/>
  <c r="M1876"/>
  <c r="N1876"/>
  <c r="O1876"/>
  <c r="Q1876"/>
  <c r="C1877"/>
  <c r="D1877"/>
  <c r="M1877"/>
  <c r="N1877"/>
  <c r="O1877"/>
  <c r="Q1877"/>
  <c r="C1878"/>
  <c r="D1878"/>
  <c r="M1878"/>
  <c r="N1878"/>
  <c r="O1878"/>
  <c r="Q1878"/>
  <c r="C1879"/>
  <c r="D1879"/>
  <c r="M1879"/>
  <c r="N1879"/>
  <c r="O1879"/>
  <c r="Q1879"/>
  <c r="C1880"/>
  <c r="D1880"/>
  <c r="M1880"/>
  <c r="N1880"/>
  <c r="O1880"/>
  <c r="Q1880"/>
  <c r="C1881"/>
  <c r="D1881"/>
  <c r="M1881"/>
  <c r="N1881"/>
  <c r="O1881"/>
  <c r="Q1881"/>
  <c r="C1882"/>
  <c r="D1882"/>
  <c r="M1882"/>
  <c r="N1882"/>
  <c r="O1882"/>
  <c r="Q1882"/>
  <c r="C1883"/>
  <c r="D1883"/>
  <c r="M1883"/>
  <c r="N1883"/>
  <c r="O1883"/>
  <c r="Q1883"/>
  <c r="C1884"/>
  <c r="D1884"/>
  <c r="M1884"/>
  <c r="N1884"/>
  <c r="O1884"/>
  <c r="Q1884"/>
  <c r="C1885"/>
  <c r="D1885"/>
  <c r="M1885"/>
  <c r="N1885"/>
  <c r="O1885"/>
  <c r="Q1885"/>
  <c r="C1886"/>
  <c r="D1886"/>
  <c r="M1886"/>
  <c r="N1886"/>
  <c r="O1886"/>
  <c r="Q1886"/>
  <c r="C1887"/>
  <c r="D1887"/>
  <c r="M1887"/>
  <c r="N1887"/>
  <c r="O1887"/>
  <c r="Q1887"/>
  <c r="C1888"/>
  <c r="D1888"/>
  <c r="M1888"/>
  <c r="N1888"/>
  <c r="O1888"/>
  <c r="Q1888"/>
  <c r="C1889"/>
  <c r="D1889"/>
  <c r="M1889"/>
  <c r="N1889"/>
  <c r="O1889"/>
  <c r="Q1889"/>
  <c r="C1890"/>
  <c r="D1890"/>
  <c r="M1890"/>
  <c r="N1890"/>
  <c r="O1890"/>
  <c r="Q1890"/>
  <c r="C1891"/>
  <c r="D1891"/>
  <c r="M1891"/>
  <c r="N1891"/>
  <c r="O1891"/>
  <c r="Q1891"/>
  <c r="C1892"/>
  <c r="D1892"/>
  <c r="M1892"/>
  <c r="N1892"/>
  <c r="O1892"/>
  <c r="Q1892"/>
  <c r="C1893"/>
  <c r="D1893"/>
  <c r="M1893"/>
  <c r="N1893"/>
  <c r="O1893"/>
  <c r="Q1893"/>
  <c r="C1894"/>
  <c r="D1894"/>
  <c r="M1894"/>
  <c r="N1894"/>
  <c r="O1894"/>
  <c r="Q1894"/>
  <c r="C1895"/>
  <c r="D1895"/>
  <c r="M1895"/>
  <c r="N1895"/>
  <c r="O1895"/>
  <c r="Q1895"/>
  <c r="C1896"/>
  <c r="D1896"/>
  <c r="M1896"/>
  <c r="N1896"/>
  <c r="O1896"/>
  <c r="Q1896"/>
  <c r="C1897"/>
  <c r="D1897"/>
  <c r="M1897"/>
  <c r="N1897"/>
  <c r="O1897"/>
  <c r="Q1897"/>
  <c r="C1898"/>
  <c r="D1898"/>
  <c r="M1898"/>
  <c r="N1898"/>
  <c r="O1898"/>
  <c r="Q1898"/>
  <c r="C1899"/>
  <c r="D1899"/>
  <c r="M1899"/>
  <c r="N1899"/>
  <c r="O1899"/>
  <c r="Q1899"/>
  <c r="C1900"/>
  <c r="D1900"/>
  <c r="M1900"/>
  <c r="N1900"/>
  <c r="O1900"/>
  <c r="Q1900"/>
  <c r="C1901"/>
  <c r="D1901"/>
  <c r="M1901"/>
  <c r="N1901"/>
  <c r="O1901"/>
  <c r="Q1901"/>
  <c r="C1902"/>
  <c r="D1902"/>
  <c r="M1902"/>
  <c r="N1902"/>
  <c r="O1902"/>
  <c r="Q1902"/>
  <c r="C1903"/>
  <c r="D1903"/>
  <c r="M1903"/>
  <c r="N1903"/>
  <c r="O1903"/>
  <c r="Q1903"/>
  <c r="C1904"/>
  <c r="D1904"/>
  <c r="M1904"/>
  <c r="N1904"/>
  <c r="O1904"/>
  <c r="Q1904"/>
  <c r="C1905"/>
  <c r="D1905"/>
  <c r="M1905"/>
  <c r="N1905"/>
  <c r="O1905"/>
  <c r="Q1905"/>
  <c r="C1906"/>
  <c r="D1906"/>
  <c r="M1906"/>
  <c r="N1906"/>
  <c r="O1906"/>
  <c r="Q1906"/>
  <c r="C1907"/>
  <c r="D1907"/>
  <c r="M1907"/>
  <c r="N1907"/>
  <c r="O1907"/>
  <c r="Q1907"/>
  <c r="C1908"/>
  <c r="D1908"/>
  <c r="M1908"/>
  <c r="N1908"/>
  <c r="O1908"/>
  <c r="Q1908"/>
  <c r="C1909"/>
  <c r="D1909"/>
  <c r="M1909"/>
  <c r="N1909"/>
  <c r="O1909"/>
  <c r="Q1909"/>
  <c r="C1910"/>
  <c r="D1910"/>
  <c r="M1910"/>
  <c r="N1910"/>
  <c r="O1910"/>
  <c r="Q1910"/>
  <c r="C1911"/>
  <c r="D1911"/>
  <c r="M1911"/>
  <c r="N1911"/>
  <c r="O1911"/>
  <c r="Q1911"/>
  <c r="C1912"/>
  <c r="D1912"/>
  <c r="M1912"/>
  <c r="N1912"/>
  <c r="O1912"/>
  <c r="Q1912"/>
  <c r="C1913"/>
  <c r="D1913"/>
  <c r="M1913"/>
  <c r="N1913"/>
  <c r="O1913"/>
  <c r="Q1913"/>
  <c r="C1914"/>
  <c r="D1914"/>
  <c r="M1914"/>
  <c r="N1914"/>
  <c r="O1914"/>
  <c r="Q1914"/>
  <c r="C1915"/>
  <c r="D1915"/>
  <c r="M1915"/>
  <c r="N1915"/>
  <c r="O1915"/>
  <c r="Q1915"/>
  <c r="C1916"/>
  <c r="D1916"/>
  <c r="M1916"/>
  <c r="N1916"/>
  <c r="O1916"/>
  <c r="Q1916"/>
  <c r="C1917"/>
  <c r="D1917"/>
  <c r="M1917"/>
  <c r="N1917"/>
  <c r="O1917"/>
  <c r="Q1917"/>
  <c r="C1918"/>
  <c r="D1918"/>
  <c r="M1918"/>
  <c r="N1918"/>
  <c r="O1918"/>
  <c r="Q1918"/>
  <c r="C1919"/>
  <c r="D1919"/>
  <c r="M1919"/>
  <c r="N1919"/>
  <c r="O1919"/>
  <c r="Q1919"/>
  <c r="C1920"/>
  <c r="D1920"/>
  <c r="M1920"/>
  <c r="N1920"/>
  <c r="O1920"/>
  <c r="Q1920"/>
  <c r="C1921"/>
  <c r="D1921"/>
  <c r="M1921"/>
  <c r="N1921"/>
  <c r="O1921"/>
  <c r="Q1921"/>
  <c r="C1922"/>
  <c r="D1922"/>
  <c r="M1922"/>
  <c r="N1922"/>
  <c r="O1922"/>
  <c r="Q1922"/>
  <c r="C1923"/>
  <c r="D1923"/>
  <c r="M1923"/>
  <c r="N1923"/>
  <c r="O1923"/>
  <c r="Q1923"/>
  <c r="C1924"/>
  <c r="D1924"/>
  <c r="M1924"/>
  <c r="N1924"/>
  <c r="O1924"/>
  <c r="Q1924"/>
  <c r="C1925"/>
  <c r="D1925"/>
  <c r="M1925"/>
  <c r="N1925"/>
  <c r="O1925"/>
  <c r="Q1925"/>
  <c r="C1926"/>
  <c r="D1926"/>
  <c r="M1926"/>
  <c r="N1926"/>
  <c r="O1926"/>
  <c r="Q1926"/>
  <c r="C1927"/>
  <c r="D1927"/>
  <c r="M1927"/>
  <c r="N1927"/>
  <c r="O1927"/>
  <c r="Q1927"/>
  <c r="C1928"/>
  <c r="D1928"/>
  <c r="M1928"/>
  <c r="N1928"/>
  <c r="O1928"/>
  <c r="Q1928"/>
  <c r="C1929"/>
  <c r="D1929"/>
  <c r="M1929"/>
  <c r="N1929"/>
  <c r="O1929"/>
  <c r="Q1929"/>
  <c r="C1930"/>
  <c r="D1930"/>
  <c r="M1930"/>
  <c r="N1930"/>
  <c r="O1930"/>
  <c r="Q1930"/>
  <c r="C1931"/>
  <c r="D1931"/>
  <c r="M1931"/>
  <c r="N1931"/>
  <c r="O1931"/>
  <c r="Q1931"/>
  <c r="C1932"/>
  <c r="D1932"/>
  <c r="M1932"/>
  <c r="N1932"/>
  <c r="O1932"/>
  <c r="Q1932"/>
  <c r="C1933"/>
  <c r="D1933"/>
  <c r="M1933"/>
  <c r="N1933"/>
  <c r="O1933"/>
  <c r="Q1933"/>
  <c r="C1934"/>
  <c r="D1934"/>
  <c r="M1934"/>
  <c r="N1934"/>
  <c r="O1934"/>
  <c r="Q1934"/>
  <c r="C1935"/>
  <c r="D1935"/>
  <c r="M1935"/>
  <c r="N1935"/>
  <c r="O1935"/>
  <c r="Q1935"/>
  <c r="C1936"/>
  <c r="D1936"/>
  <c r="M1936"/>
  <c r="N1936"/>
  <c r="O1936"/>
  <c r="Q1936"/>
  <c r="C1937"/>
  <c r="D1937"/>
  <c r="M1937"/>
  <c r="N1937"/>
  <c r="O1937"/>
  <c r="Q1937"/>
  <c r="C1938"/>
  <c r="D1938"/>
  <c r="M1938"/>
  <c r="N1938"/>
  <c r="O1938"/>
  <c r="Q1938"/>
  <c r="C1939"/>
  <c r="D1939"/>
  <c r="M1939"/>
  <c r="N1939"/>
  <c r="O1939"/>
  <c r="Q1939"/>
  <c r="C1940"/>
  <c r="D1940"/>
  <c r="M1940"/>
  <c r="N1940"/>
  <c r="O1940"/>
  <c r="Q1940"/>
  <c r="C1941"/>
  <c r="D1941"/>
  <c r="M1941"/>
  <c r="N1941"/>
  <c r="O1941"/>
  <c r="Q1941"/>
  <c r="C1942"/>
  <c r="D1942"/>
  <c r="M1942"/>
  <c r="N1942"/>
  <c r="O1942"/>
  <c r="Q1942"/>
  <c r="C1943"/>
  <c r="D1943"/>
  <c r="M1943"/>
  <c r="N1943"/>
  <c r="O1943"/>
  <c r="Q1943"/>
  <c r="C1944"/>
  <c r="D1944"/>
  <c r="M1944"/>
  <c r="N1944"/>
  <c r="O1944"/>
  <c r="Q1944"/>
  <c r="C1945"/>
  <c r="D1945"/>
  <c r="M1945"/>
  <c r="N1945"/>
  <c r="O1945"/>
  <c r="Q1945"/>
  <c r="C1946"/>
  <c r="D1946"/>
  <c r="M1946"/>
  <c r="N1946"/>
  <c r="O1946"/>
  <c r="Q1946"/>
  <c r="C1947"/>
  <c r="D1947"/>
  <c r="M1947"/>
  <c r="N1947"/>
  <c r="O1947"/>
  <c r="Q1947"/>
  <c r="C1948"/>
  <c r="D1948"/>
  <c r="M1948"/>
  <c r="N1948"/>
  <c r="O1948"/>
  <c r="Q1948"/>
  <c r="C1949"/>
  <c r="D1949"/>
  <c r="M1949"/>
  <c r="N1949"/>
  <c r="O1949"/>
  <c r="Q1949"/>
  <c r="C1950"/>
  <c r="D1950"/>
  <c r="M1950"/>
  <c r="N1950"/>
  <c r="O1950"/>
  <c r="Q1950"/>
  <c r="C1951"/>
  <c r="D1951"/>
  <c r="M1951"/>
  <c r="N1951"/>
  <c r="O1951"/>
  <c r="Q1951"/>
  <c r="C1952"/>
  <c r="D1952"/>
  <c r="M1952"/>
  <c r="N1952"/>
  <c r="O1952"/>
  <c r="Q1952"/>
  <c r="C1953"/>
  <c r="D1953"/>
  <c r="M1953"/>
  <c r="N1953"/>
  <c r="O1953"/>
  <c r="Q1953"/>
  <c r="C1954"/>
  <c r="D1954"/>
  <c r="M1954"/>
  <c r="N1954"/>
  <c r="O1954"/>
  <c r="Q1954"/>
  <c r="C1955"/>
  <c r="D1955"/>
  <c r="M1955"/>
  <c r="N1955"/>
  <c r="O1955"/>
  <c r="Q1955"/>
  <c r="C1956"/>
  <c r="D1956"/>
  <c r="M1956"/>
  <c r="N1956"/>
  <c r="O1956"/>
  <c r="Q1956"/>
  <c r="C1957"/>
  <c r="D1957"/>
  <c r="M1957"/>
  <c r="N1957"/>
  <c r="O1957"/>
  <c r="Q1957"/>
  <c r="C1958"/>
  <c r="D1958"/>
  <c r="M1958"/>
  <c r="N1958"/>
  <c r="O1958"/>
  <c r="Q1958"/>
  <c r="C1959"/>
  <c r="D1959"/>
  <c r="M1959"/>
  <c r="N1959"/>
  <c r="O1959"/>
  <c r="Q1959"/>
  <c r="C1960"/>
  <c r="D1960"/>
  <c r="M1960"/>
  <c r="N1960"/>
  <c r="O1960"/>
  <c r="Q1960"/>
  <c r="C1961"/>
  <c r="D1961"/>
  <c r="M1961"/>
  <c r="N1961"/>
  <c r="O1961"/>
  <c r="Q1961"/>
  <c r="C1962"/>
  <c r="D1962"/>
  <c r="M1962"/>
  <c r="N1962"/>
  <c r="O1962"/>
  <c r="Q1962"/>
  <c r="C1963"/>
  <c r="D1963"/>
  <c r="M1963"/>
  <c r="N1963"/>
  <c r="O1963"/>
  <c r="Q1963"/>
  <c r="C1964"/>
  <c r="D1964"/>
  <c r="M1964"/>
  <c r="N1964"/>
  <c r="O1964"/>
  <c r="Q1964"/>
  <c r="C1965"/>
  <c r="D1965"/>
  <c r="M1965"/>
  <c r="N1965"/>
  <c r="O1965"/>
  <c r="Q1965"/>
  <c r="C1966"/>
  <c r="D1966"/>
  <c r="M1966"/>
  <c r="N1966"/>
  <c r="O1966"/>
  <c r="Q1966"/>
  <c r="C1967"/>
  <c r="D1967"/>
  <c r="M1967"/>
  <c r="N1967"/>
  <c r="O1967"/>
  <c r="Q1967"/>
  <c r="C1968"/>
  <c r="D1968"/>
  <c r="M1968"/>
  <c r="N1968"/>
  <c r="O1968"/>
  <c r="Q1968"/>
  <c r="C1969"/>
  <c r="D1969"/>
  <c r="M1969"/>
  <c r="N1969"/>
  <c r="O1969"/>
  <c r="Q1969"/>
  <c r="C1970"/>
  <c r="D1970"/>
  <c r="M1970"/>
  <c r="N1970"/>
  <c r="O1970"/>
  <c r="Q1970"/>
  <c r="C1971"/>
  <c r="D1971"/>
  <c r="M1971"/>
  <c r="N1971"/>
  <c r="O1971"/>
  <c r="Q1971"/>
  <c r="C1972"/>
  <c r="D1972"/>
  <c r="M1972"/>
  <c r="N1972"/>
  <c r="O1972"/>
  <c r="Q1972"/>
  <c r="C1973"/>
  <c r="D1973"/>
  <c r="M1973"/>
  <c r="N1973"/>
  <c r="O1973"/>
  <c r="Q1973"/>
  <c r="C1974"/>
  <c r="D1974"/>
  <c r="M1974"/>
  <c r="N1974"/>
  <c r="O1974"/>
  <c r="Q1974"/>
  <c r="C1975"/>
  <c r="D1975"/>
  <c r="M1975"/>
  <c r="N1975"/>
  <c r="O1975"/>
  <c r="Q1975"/>
  <c r="C1976"/>
  <c r="D1976"/>
  <c r="M1976"/>
  <c r="N1976"/>
  <c r="O1976"/>
  <c r="Q1976"/>
  <c r="C1977"/>
  <c r="D1977"/>
  <c r="M1977"/>
  <c r="N1977"/>
  <c r="O1977"/>
  <c r="Q1977"/>
  <c r="C1978"/>
  <c r="D1978"/>
  <c r="M1978"/>
  <c r="N1978"/>
  <c r="O1978"/>
  <c r="Q1978"/>
  <c r="C1979"/>
  <c r="D1979"/>
  <c r="M1979"/>
  <c r="N1979"/>
  <c r="O1979"/>
  <c r="Q1979"/>
  <c r="C1980"/>
  <c r="D1980"/>
  <c r="M1980"/>
  <c r="N1980"/>
  <c r="O1980"/>
  <c r="Q1980"/>
  <c r="C1981"/>
  <c r="D1981"/>
  <c r="M1981"/>
  <c r="N1981"/>
  <c r="O1981"/>
  <c r="Q1981"/>
  <c r="C1982"/>
  <c r="D1982"/>
  <c r="M1982"/>
  <c r="N1982"/>
  <c r="O1982"/>
  <c r="Q1982"/>
  <c r="C1983"/>
  <c r="D1983"/>
  <c r="M1983"/>
  <c r="N1983"/>
  <c r="O1983"/>
  <c r="Q1983"/>
  <c r="C1984"/>
  <c r="D1984"/>
  <c r="M1984"/>
  <c r="N1984"/>
  <c r="O1984"/>
  <c r="Q1984"/>
  <c r="C1985"/>
  <c r="D1985"/>
  <c r="M1985"/>
  <c r="N1985"/>
  <c r="O1985"/>
  <c r="Q1985"/>
  <c r="C1986"/>
  <c r="D1986"/>
  <c r="M1986"/>
  <c r="N1986"/>
  <c r="O1986"/>
  <c r="Q1986"/>
  <c r="C1987"/>
  <c r="D1987"/>
  <c r="M1987"/>
  <c r="N1987"/>
  <c r="O1987"/>
  <c r="Q1987"/>
  <c r="C1988"/>
  <c r="D1988"/>
  <c r="M1988"/>
  <c r="N1988"/>
  <c r="O1988"/>
  <c r="Q1988"/>
  <c r="C1989"/>
  <c r="D1989"/>
  <c r="M1989"/>
  <c r="N1989"/>
  <c r="O1989"/>
  <c r="Q1989"/>
  <c r="C1990"/>
  <c r="D1990"/>
  <c r="M1990"/>
  <c r="N1990"/>
  <c r="O1990"/>
  <c r="Q1990"/>
  <c r="C1991"/>
  <c r="D1991"/>
  <c r="M1991"/>
  <c r="N1991"/>
  <c r="O1991"/>
  <c r="Q1991"/>
  <c r="C1992"/>
  <c r="D1992"/>
  <c r="M1992"/>
  <c r="N1992"/>
  <c r="O1992"/>
  <c r="Q1992"/>
  <c r="C1993"/>
  <c r="D1993"/>
  <c r="M1993"/>
  <c r="N1993"/>
  <c r="O1993"/>
  <c r="Q1993"/>
  <c r="C1994"/>
  <c r="D1994"/>
  <c r="M1994"/>
  <c r="N1994"/>
  <c r="O1994"/>
  <c r="Q1994"/>
  <c r="C1995"/>
  <c r="D1995"/>
  <c r="M1995"/>
  <c r="N1995"/>
  <c r="O1995"/>
  <c r="Q1995"/>
  <c r="C1996"/>
  <c r="D1996"/>
  <c r="M1996"/>
  <c r="N1996"/>
  <c r="O1996"/>
  <c r="Q1996"/>
  <c r="C1997"/>
  <c r="D1997"/>
  <c r="M1997"/>
  <c r="N1997"/>
  <c r="O1997"/>
  <c r="Q1997"/>
  <c r="C1998"/>
  <c r="D1998"/>
  <c r="M1998"/>
  <c r="N1998"/>
  <c r="O1998"/>
  <c r="Q1998"/>
  <c r="C1999"/>
  <c r="D1999"/>
  <c r="M1999"/>
  <c r="N1999"/>
  <c r="O1999"/>
  <c r="Q1999"/>
  <c r="C2000"/>
  <c r="D2000"/>
  <c r="M2000"/>
  <c r="N2000"/>
  <c r="O2000"/>
  <c r="Q2000"/>
  <c r="C2001"/>
  <c r="D2001"/>
  <c r="M2001"/>
  <c r="N2001"/>
  <c r="O2001"/>
  <c r="Q2001"/>
  <c r="C2002"/>
  <c r="D2002"/>
  <c r="M2002"/>
  <c r="N2002"/>
  <c r="O2002"/>
  <c r="Q2002"/>
  <c r="C2003"/>
  <c r="D2003"/>
  <c r="M2003"/>
  <c r="N2003"/>
  <c r="O2003"/>
  <c r="Q2003"/>
  <c r="C2004"/>
  <c r="D2004"/>
  <c r="M2004"/>
  <c r="N2004"/>
  <c r="O2004"/>
  <c r="Q2004"/>
  <c r="C2005"/>
  <c r="D2005"/>
  <c r="M2005"/>
  <c r="N2005"/>
  <c r="O2005"/>
  <c r="Q2005"/>
  <c r="C2006"/>
  <c r="D2006"/>
  <c r="M2006"/>
  <c r="N2006"/>
  <c r="O2006"/>
  <c r="Q2006"/>
  <c r="C2007"/>
  <c r="D2007"/>
  <c r="M2007"/>
  <c r="N2007"/>
  <c r="O2007"/>
  <c r="Q2007"/>
  <c r="C2008"/>
  <c r="D2008"/>
  <c r="M2008"/>
  <c r="N2008"/>
  <c r="O2008"/>
  <c r="Q2008"/>
  <c r="C2009"/>
  <c r="D2009"/>
  <c r="M2009"/>
  <c r="N2009"/>
  <c r="O2009"/>
  <c r="Q2009"/>
  <c r="C2010"/>
  <c r="D2010"/>
  <c r="M2010"/>
  <c r="N2010"/>
  <c r="O2010"/>
  <c r="Q2010"/>
  <c r="C2011"/>
  <c r="D2011"/>
  <c r="M2011"/>
  <c r="N2011"/>
  <c r="O2011"/>
  <c r="Q2011"/>
  <c r="C2012"/>
  <c r="D2012"/>
  <c r="M2012"/>
  <c r="N2012"/>
  <c r="O2012"/>
  <c r="Q2012"/>
  <c r="C2013"/>
  <c r="D2013"/>
  <c r="M2013"/>
  <c r="N2013"/>
  <c r="O2013"/>
  <c r="Q2013"/>
  <c r="C2014"/>
  <c r="D2014"/>
  <c r="M2014"/>
  <c r="N2014"/>
  <c r="O2014"/>
  <c r="Q2014"/>
  <c r="C2015"/>
  <c r="D2015"/>
  <c r="M2015"/>
  <c r="N2015"/>
  <c r="O2015"/>
  <c r="Q2015"/>
  <c r="C2016"/>
  <c r="D2016"/>
  <c r="M2016"/>
  <c r="N2016"/>
  <c r="O2016"/>
  <c r="Q2016"/>
  <c r="C2017"/>
  <c r="D2017"/>
  <c r="M2017"/>
  <c r="N2017"/>
  <c r="O2017"/>
  <c r="Q2017"/>
  <c r="C2018"/>
  <c r="D2018"/>
  <c r="M2018"/>
  <c r="N2018"/>
  <c r="O2018"/>
  <c r="Q2018"/>
  <c r="C2019"/>
  <c r="D2019"/>
  <c r="M2019"/>
  <c r="N2019"/>
  <c r="O2019"/>
  <c r="Q2019"/>
  <c r="C2020"/>
  <c r="D2020"/>
  <c r="M2020"/>
  <c r="N2020"/>
  <c r="O2020"/>
  <c r="Q2020"/>
  <c r="C2021"/>
  <c r="D2021"/>
  <c r="M2021"/>
  <c r="N2021"/>
  <c r="O2021"/>
  <c r="Q2021"/>
  <c r="C2022"/>
  <c r="D2022"/>
  <c r="M2022"/>
  <c r="N2022"/>
  <c r="O2022"/>
  <c r="Q2022"/>
  <c r="C2023"/>
  <c r="D2023"/>
  <c r="M2023"/>
  <c r="N2023"/>
  <c r="O2023"/>
  <c r="Q2023"/>
  <c r="C2024"/>
  <c r="D2024"/>
  <c r="M2024"/>
  <c r="N2024"/>
  <c r="O2024"/>
  <c r="Q2024"/>
  <c r="C2025"/>
  <c r="D2025"/>
  <c r="M2025"/>
  <c r="N2025"/>
  <c r="O2025"/>
  <c r="Q2025"/>
  <c r="C2026"/>
  <c r="D2026"/>
  <c r="M2026"/>
  <c r="N2026"/>
  <c r="O2026"/>
  <c r="Q2026"/>
  <c r="C2027"/>
  <c r="D2027"/>
  <c r="M2027"/>
  <c r="N2027"/>
  <c r="O2027"/>
  <c r="Q2027"/>
  <c r="C2028"/>
  <c r="D2028"/>
  <c r="M2028"/>
  <c r="N2028"/>
  <c r="O2028"/>
  <c r="Q2028"/>
  <c r="C2029"/>
  <c r="D2029"/>
  <c r="M2029"/>
  <c r="N2029"/>
  <c r="O2029"/>
  <c r="Q2029"/>
  <c r="C2030"/>
  <c r="D2030"/>
  <c r="M2030"/>
  <c r="N2030"/>
  <c r="O2030"/>
  <c r="Q2030"/>
  <c r="C2031"/>
  <c r="D2031"/>
  <c r="M2031"/>
  <c r="N2031"/>
  <c r="O2031"/>
  <c r="Q2031"/>
  <c r="C2032"/>
  <c r="D2032"/>
  <c r="M2032"/>
  <c r="N2032"/>
  <c r="O2032"/>
  <c r="Q2032"/>
  <c r="C2033"/>
  <c r="D2033"/>
  <c r="M2033"/>
  <c r="N2033"/>
  <c r="O2033"/>
  <c r="Q2033"/>
  <c r="C2034"/>
  <c r="D2034"/>
  <c r="M2034"/>
  <c r="N2034"/>
  <c r="O2034"/>
  <c r="Q2034"/>
  <c r="C2035"/>
  <c r="D2035"/>
  <c r="M2035"/>
  <c r="N2035"/>
  <c r="O2035"/>
  <c r="Q2035"/>
  <c r="C2036"/>
  <c r="D2036"/>
  <c r="M2036"/>
  <c r="N2036"/>
  <c r="O2036"/>
  <c r="Q2036"/>
  <c r="C2037"/>
  <c r="D2037"/>
  <c r="M2037"/>
  <c r="N2037"/>
  <c r="O2037"/>
  <c r="Q2037"/>
  <c r="C2038"/>
  <c r="D2038"/>
  <c r="M2038"/>
  <c r="N2038"/>
  <c r="O2038"/>
  <c r="Q2038"/>
  <c r="C2039"/>
  <c r="D2039"/>
  <c r="M2039"/>
  <c r="N2039"/>
  <c r="O2039"/>
  <c r="Q2039"/>
  <c r="C2040"/>
  <c r="D2040"/>
  <c r="M2040"/>
  <c r="N2040"/>
  <c r="O2040"/>
  <c r="Q2040"/>
  <c r="C2041"/>
  <c r="D2041"/>
  <c r="M2041"/>
  <c r="N2041"/>
  <c r="O2041"/>
  <c r="Q2041"/>
  <c r="C2042"/>
  <c r="D2042"/>
  <c r="M2042"/>
  <c r="N2042"/>
  <c r="O2042"/>
  <c r="Q2042"/>
  <c r="C2043"/>
  <c r="D2043"/>
  <c r="M2043"/>
  <c r="N2043"/>
  <c r="O2043"/>
  <c r="Q2043"/>
  <c r="C2044"/>
  <c r="D2044"/>
  <c r="M2044"/>
  <c r="N2044"/>
  <c r="O2044"/>
  <c r="Q2044"/>
  <c r="C2045"/>
  <c r="D2045"/>
  <c r="M2045"/>
  <c r="N2045"/>
  <c r="O2045"/>
  <c r="Q2045"/>
  <c r="C2046"/>
  <c r="D2046"/>
  <c r="M2046"/>
  <c r="N2046"/>
  <c r="O2046"/>
  <c r="Q2046"/>
  <c r="C2047"/>
  <c r="D2047"/>
  <c r="M2047"/>
  <c r="N2047"/>
  <c r="O2047"/>
  <c r="Q2047"/>
  <c r="C2048"/>
  <c r="D2048"/>
  <c r="M2048"/>
  <c r="N2048"/>
  <c r="O2048"/>
  <c r="Q2048"/>
  <c r="C2049"/>
  <c r="D2049"/>
  <c r="M2049"/>
  <c r="N2049"/>
  <c r="O2049"/>
  <c r="Q2049"/>
  <c r="C2050"/>
  <c r="D2050"/>
  <c r="M2050"/>
  <c r="N2050"/>
  <c r="O2050"/>
  <c r="Q2050"/>
  <c r="C2051"/>
  <c r="D2051"/>
  <c r="M2051"/>
  <c r="N2051"/>
  <c r="O2051"/>
  <c r="Q2051"/>
  <c r="C2052"/>
  <c r="D2052"/>
  <c r="M2052"/>
  <c r="N2052"/>
  <c r="O2052"/>
  <c r="Q2052"/>
  <c r="C2053"/>
  <c r="D2053"/>
  <c r="M2053"/>
  <c r="N2053"/>
  <c r="O2053"/>
  <c r="Q2053"/>
  <c r="C2054"/>
  <c r="D2054"/>
  <c r="M2054"/>
  <c r="N2054"/>
  <c r="O2054"/>
  <c r="Q2054"/>
  <c r="C2055"/>
  <c r="D2055"/>
  <c r="M2055"/>
  <c r="N2055"/>
  <c r="O2055"/>
  <c r="Q2055"/>
  <c r="C2056"/>
  <c r="D2056"/>
  <c r="M2056"/>
  <c r="N2056"/>
  <c r="O2056"/>
  <c r="Q2056"/>
  <c r="C2057"/>
  <c r="D2057"/>
  <c r="M2057"/>
  <c r="N2057"/>
  <c r="O2057"/>
  <c r="Q2057"/>
  <c r="C2058"/>
  <c r="D2058"/>
  <c r="M2058"/>
  <c r="N2058"/>
  <c r="O2058"/>
  <c r="Q2058"/>
  <c r="C2059"/>
  <c r="D2059"/>
  <c r="M2059"/>
  <c r="N2059"/>
  <c r="O2059"/>
  <c r="Q2059"/>
  <c r="C2060"/>
  <c r="D2060"/>
  <c r="M2060"/>
  <c r="N2060"/>
  <c r="O2060"/>
  <c r="Q2060"/>
  <c r="C2061"/>
  <c r="D2061"/>
  <c r="M2061"/>
  <c r="N2061"/>
  <c r="O2061"/>
  <c r="Q2061"/>
  <c r="C2062"/>
  <c r="D2062"/>
  <c r="M2062"/>
  <c r="N2062"/>
  <c r="O2062"/>
  <c r="Q2062"/>
  <c r="C2063"/>
  <c r="D2063"/>
  <c r="M2063"/>
  <c r="N2063"/>
  <c r="O2063"/>
  <c r="Q2063"/>
  <c r="C2064"/>
  <c r="D2064"/>
  <c r="M2064"/>
  <c r="N2064"/>
  <c r="O2064"/>
  <c r="Q2064"/>
  <c r="C2065"/>
  <c r="D2065"/>
  <c r="M2065"/>
  <c r="N2065"/>
  <c r="O2065"/>
  <c r="Q2065"/>
  <c r="C2066"/>
  <c r="D2066"/>
  <c r="M2066"/>
  <c r="N2066"/>
  <c r="O2066"/>
  <c r="Q2066"/>
  <c r="C2067"/>
  <c r="D2067"/>
  <c r="M2067"/>
  <c r="N2067"/>
  <c r="O2067"/>
  <c r="Q2067"/>
  <c r="C2068"/>
  <c r="D2068"/>
  <c r="M2068"/>
  <c r="N2068"/>
  <c r="O2068"/>
  <c r="Q2068"/>
  <c r="C2069"/>
  <c r="D2069"/>
  <c r="M2069"/>
  <c r="N2069"/>
  <c r="O2069"/>
  <c r="Q2069"/>
  <c r="C2070"/>
  <c r="D2070"/>
  <c r="M2070"/>
  <c r="N2070"/>
  <c r="O2070"/>
  <c r="Q2070"/>
  <c r="C2071"/>
  <c r="D2071"/>
  <c r="M2071"/>
  <c r="N2071"/>
  <c r="O2071"/>
  <c r="Q2071"/>
  <c r="C2072"/>
  <c r="D2072"/>
  <c r="M2072"/>
  <c r="N2072"/>
  <c r="O2072"/>
  <c r="Q2072"/>
  <c r="C2073"/>
  <c r="D2073"/>
  <c r="M2073"/>
  <c r="N2073"/>
  <c r="O2073"/>
  <c r="Q2073"/>
  <c r="C2074"/>
  <c r="D2074"/>
  <c r="M2074"/>
  <c r="N2074"/>
  <c r="O2074"/>
  <c r="Q2074"/>
  <c r="C2075"/>
  <c r="D2075"/>
  <c r="M2075"/>
  <c r="N2075"/>
  <c r="O2075"/>
  <c r="Q2075"/>
  <c r="C2076"/>
  <c r="D2076"/>
  <c r="M2076"/>
  <c r="N2076"/>
  <c r="O2076"/>
  <c r="Q2076"/>
  <c r="C2077"/>
  <c r="D2077"/>
  <c r="M2077"/>
  <c r="N2077"/>
  <c r="O2077"/>
  <c r="Q2077"/>
  <c r="C2078"/>
  <c r="D2078"/>
  <c r="M2078"/>
  <c r="N2078"/>
  <c r="O2078"/>
  <c r="Q2078"/>
  <c r="C2079"/>
  <c r="D2079"/>
  <c r="M2079"/>
  <c r="N2079"/>
  <c r="O2079"/>
  <c r="Q2079"/>
  <c r="C2080"/>
  <c r="D2080"/>
  <c r="M2080"/>
  <c r="N2080"/>
  <c r="O2080"/>
  <c r="Q2080"/>
  <c r="C2081"/>
  <c r="D2081"/>
  <c r="M2081"/>
  <c r="N2081"/>
  <c r="O2081"/>
  <c r="Q2081"/>
  <c r="C2082"/>
  <c r="D2082"/>
  <c r="M2082"/>
  <c r="N2082"/>
  <c r="O2082"/>
  <c r="Q2082"/>
  <c r="C2083"/>
  <c r="D2083"/>
  <c r="M2083"/>
  <c r="N2083"/>
  <c r="O2083"/>
  <c r="Q2083"/>
  <c r="C2084"/>
  <c r="D2084"/>
  <c r="M2084"/>
  <c r="N2084"/>
  <c r="O2084"/>
  <c r="Q2084"/>
  <c r="C2085"/>
  <c r="D2085"/>
  <c r="M2085"/>
  <c r="N2085"/>
  <c r="O2085"/>
  <c r="Q2085"/>
  <c r="C2086"/>
  <c r="D2086"/>
  <c r="M2086"/>
  <c r="N2086"/>
  <c r="O2086"/>
  <c r="Q2086"/>
  <c r="C2087"/>
  <c r="D2087"/>
  <c r="M2087"/>
  <c r="N2087"/>
  <c r="O2087"/>
  <c r="Q2087"/>
  <c r="C2088"/>
  <c r="D2088"/>
  <c r="M2088"/>
  <c r="N2088"/>
  <c r="O2088"/>
  <c r="Q2088"/>
  <c r="C2089"/>
  <c r="D2089"/>
  <c r="M2089"/>
  <c r="N2089"/>
  <c r="O2089"/>
  <c r="Q2089"/>
  <c r="C2090"/>
  <c r="D2090"/>
  <c r="M2090"/>
  <c r="N2090"/>
  <c r="O2090"/>
  <c r="Q2090"/>
  <c r="C2091"/>
  <c r="D2091"/>
  <c r="M2091"/>
  <c r="N2091"/>
  <c r="O2091"/>
  <c r="Q2091"/>
  <c r="C2092"/>
  <c r="D2092"/>
  <c r="M2092"/>
  <c r="N2092"/>
  <c r="O2092"/>
  <c r="Q2092"/>
  <c r="C2093"/>
  <c r="D2093"/>
  <c r="M2093"/>
  <c r="N2093"/>
  <c r="O2093"/>
  <c r="Q2093"/>
  <c r="C2094"/>
  <c r="D2094"/>
  <c r="M2094"/>
  <c r="N2094"/>
  <c r="O2094"/>
  <c r="Q2094"/>
  <c r="C2095"/>
  <c r="D2095"/>
  <c r="M2095"/>
  <c r="N2095"/>
  <c r="O2095"/>
  <c r="Q2095"/>
  <c r="C2096"/>
  <c r="D2096"/>
  <c r="M2096"/>
  <c r="N2096"/>
  <c r="O2096"/>
  <c r="Q2096"/>
  <c r="C2097"/>
  <c r="D2097"/>
  <c r="M2097"/>
  <c r="N2097"/>
  <c r="O2097"/>
  <c r="Q2097"/>
  <c r="C2098"/>
  <c r="D2098"/>
  <c r="M2098"/>
  <c r="N2098"/>
  <c r="O2098"/>
  <c r="Q2098"/>
  <c r="C2099"/>
  <c r="D2099"/>
  <c r="M2099"/>
  <c r="N2099"/>
  <c r="O2099"/>
  <c r="Q2099"/>
  <c r="C2100"/>
  <c r="D2100"/>
  <c r="M2100"/>
  <c r="N2100"/>
  <c r="O2100"/>
  <c r="Q2100"/>
  <c r="C2101"/>
  <c r="D2101"/>
  <c r="M2101"/>
  <c r="N2101"/>
  <c r="O2101"/>
  <c r="Q2101"/>
  <c r="C2102"/>
  <c r="D2102"/>
  <c r="M2102"/>
  <c r="N2102"/>
  <c r="O2102"/>
  <c r="Q2102"/>
  <c r="C2103"/>
  <c r="D2103"/>
  <c r="M2103"/>
  <c r="N2103"/>
  <c r="O2103"/>
  <c r="Q2103"/>
  <c r="C2104"/>
  <c r="D2104"/>
  <c r="M2104"/>
  <c r="N2104"/>
  <c r="O2104"/>
  <c r="Q2104"/>
  <c r="C2105"/>
  <c r="D2105"/>
  <c r="M2105"/>
  <c r="N2105"/>
  <c r="O2105"/>
  <c r="Q2105"/>
  <c r="C2106"/>
  <c r="D2106"/>
  <c r="M2106"/>
  <c r="N2106"/>
  <c r="O2106"/>
  <c r="Q2106"/>
  <c r="C2107"/>
  <c r="D2107"/>
  <c r="M2107"/>
  <c r="N2107"/>
  <c r="O2107"/>
  <c r="Q2107"/>
  <c r="C2108"/>
  <c r="D2108"/>
  <c r="M2108"/>
  <c r="N2108"/>
  <c r="O2108"/>
  <c r="Q2108"/>
  <c r="C2109"/>
  <c r="D2109"/>
  <c r="M2109"/>
  <c r="N2109"/>
  <c r="O2109"/>
  <c r="Q2109"/>
  <c r="C2110"/>
  <c r="D2110"/>
  <c r="M2110"/>
  <c r="N2110"/>
  <c r="O2110"/>
  <c r="Q2110"/>
  <c r="C2111"/>
  <c r="D2111"/>
  <c r="M2111"/>
  <c r="N2111"/>
  <c r="O2111"/>
  <c r="Q2111"/>
  <c r="C2112"/>
  <c r="D2112"/>
  <c r="M2112"/>
  <c r="N2112"/>
  <c r="O2112"/>
  <c r="Q2112"/>
  <c r="C2113"/>
  <c r="D2113"/>
  <c r="M2113"/>
  <c r="N2113"/>
  <c r="O2113"/>
  <c r="Q2113"/>
  <c r="C2114"/>
  <c r="D2114"/>
  <c r="M2114"/>
  <c r="N2114"/>
  <c r="O2114"/>
  <c r="Q2114"/>
  <c r="C2115"/>
  <c r="D2115"/>
  <c r="M2115"/>
  <c r="N2115"/>
  <c r="O2115"/>
  <c r="Q2115"/>
  <c r="C2116"/>
  <c r="D2116"/>
  <c r="M2116"/>
  <c r="N2116"/>
  <c r="O2116"/>
  <c r="Q2116"/>
  <c r="C2117"/>
  <c r="D2117"/>
  <c r="M2117"/>
  <c r="N2117"/>
  <c r="O2117"/>
  <c r="Q2117"/>
  <c r="C2118"/>
  <c r="D2118"/>
  <c r="M2118"/>
  <c r="N2118"/>
  <c r="O2118"/>
  <c r="Q2118"/>
  <c r="C2119"/>
  <c r="D2119"/>
  <c r="M2119"/>
  <c r="N2119"/>
  <c r="O2119"/>
  <c r="Q2119"/>
  <c r="C2120"/>
  <c r="D2120"/>
  <c r="M2120"/>
  <c r="N2120"/>
  <c r="O2120"/>
  <c r="Q2120"/>
  <c r="C2121"/>
  <c r="D2121"/>
  <c r="M2121"/>
  <c r="N2121"/>
  <c r="O2121"/>
  <c r="Q2121"/>
  <c r="C2122"/>
  <c r="D2122"/>
  <c r="M2122"/>
  <c r="N2122"/>
  <c r="O2122"/>
  <c r="Q2122"/>
  <c r="C2123"/>
  <c r="D2123"/>
  <c r="M2123"/>
  <c r="N2123"/>
  <c r="O2123"/>
  <c r="Q2123"/>
  <c r="C2124"/>
  <c r="D2124"/>
  <c r="M2124"/>
  <c r="N2124"/>
  <c r="O2124"/>
  <c r="Q2124"/>
  <c r="C2125"/>
  <c r="D2125"/>
  <c r="M2125"/>
  <c r="N2125"/>
  <c r="O2125"/>
  <c r="Q2125"/>
  <c r="C2126"/>
  <c r="D2126"/>
  <c r="M2126"/>
  <c r="N2126"/>
  <c r="O2126"/>
  <c r="Q2126"/>
  <c r="C2127"/>
  <c r="D2127"/>
  <c r="M2127"/>
  <c r="N2127"/>
  <c r="O2127"/>
  <c r="Q2127"/>
  <c r="C2128"/>
  <c r="D2128"/>
  <c r="M2128"/>
  <c r="N2128"/>
  <c r="O2128"/>
  <c r="Q2128"/>
  <c r="C2129"/>
  <c r="D2129"/>
  <c r="M2129"/>
  <c r="N2129"/>
  <c r="O2129"/>
  <c r="Q2129"/>
  <c r="C2130"/>
  <c r="D2130"/>
  <c r="M2130"/>
  <c r="N2130"/>
  <c r="O2130"/>
  <c r="Q2130"/>
  <c r="C2131"/>
  <c r="D2131"/>
  <c r="M2131"/>
  <c r="N2131"/>
  <c r="O2131"/>
  <c r="Q2131"/>
  <c r="C2132"/>
  <c r="D2132"/>
  <c r="M2132"/>
  <c r="N2132"/>
  <c r="O2132"/>
  <c r="Q2132"/>
  <c r="C2133"/>
  <c r="D2133"/>
  <c r="M2133"/>
  <c r="N2133"/>
  <c r="O2133"/>
  <c r="Q2133"/>
  <c r="C2134"/>
  <c r="D2134"/>
  <c r="M2134"/>
  <c r="N2134"/>
  <c r="O2134"/>
  <c r="Q2134"/>
  <c r="C2135"/>
  <c r="D2135"/>
  <c r="M2135"/>
  <c r="N2135"/>
  <c r="O2135"/>
  <c r="Q2135"/>
  <c r="C2136"/>
  <c r="D2136"/>
  <c r="M2136"/>
  <c r="N2136"/>
  <c r="O2136"/>
  <c r="Q2136"/>
  <c r="C2137"/>
  <c r="D2137"/>
  <c r="M2137"/>
  <c r="N2137"/>
  <c r="O2137"/>
  <c r="Q2137"/>
  <c r="C2138"/>
  <c r="D2138"/>
  <c r="M2138"/>
  <c r="N2138"/>
  <c r="O2138"/>
  <c r="Q2138"/>
  <c r="C2139"/>
  <c r="D2139"/>
  <c r="M2139"/>
  <c r="N2139"/>
  <c r="O2139"/>
  <c r="Q2139"/>
  <c r="C2140"/>
  <c r="D2140"/>
  <c r="M2140"/>
  <c r="N2140"/>
  <c r="O2140"/>
  <c r="Q2140"/>
  <c r="C2141"/>
  <c r="D2141"/>
  <c r="M2141"/>
  <c r="N2141"/>
  <c r="O2141"/>
  <c r="Q2141"/>
  <c r="C2142"/>
  <c r="D2142"/>
  <c r="M2142"/>
  <c r="N2142"/>
  <c r="O2142"/>
  <c r="Q2142"/>
  <c r="C2143"/>
  <c r="D2143"/>
  <c r="M2143"/>
  <c r="N2143"/>
  <c r="O2143"/>
  <c r="Q2143"/>
  <c r="C2144"/>
  <c r="D2144"/>
  <c r="M2144"/>
  <c r="N2144"/>
  <c r="O2144"/>
  <c r="Q2144"/>
  <c r="C2145"/>
  <c r="D2145"/>
  <c r="M2145"/>
  <c r="N2145"/>
  <c r="O2145"/>
  <c r="Q2145"/>
  <c r="C2146"/>
  <c r="D2146"/>
  <c r="M2146"/>
  <c r="N2146"/>
  <c r="O2146"/>
  <c r="Q2146"/>
  <c r="C2147"/>
  <c r="D2147"/>
  <c r="M2147"/>
  <c r="N2147"/>
  <c r="O2147"/>
  <c r="Q2147"/>
  <c r="C2148"/>
  <c r="D2148"/>
  <c r="M2148"/>
  <c r="N2148"/>
  <c r="O2148"/>
  <c r="Q2148"/>
  <c r="C2149"/>
  <c r="D2149"/>
  <c r="M2149"/>
  <c r="N2149"/>
  <c r="O2149"/>
  <c r="Q2149"/>
  <c r="C2150"/>
  <c r="D2150"/>
  <c r="M2150"/>
  <c r="N2150"/>
  <c r="O2150"/>
  <c r="Q2150"/>
  <c r="C2151"/>
  <c r="D2151"/>
  <c r="M2151"/>
  <c r="N2151"/>
  <c r="O2151"/>
  <c r="Q2151"/>
  <c r="C2152"/>
  <c r="D2152"/>
  <c r="M2152"/>
  <c r="N2152"/>
  <c r="O2152"/>
  <c r="Q2152"/>
  <c r="C2153"/>
  <c r="D2153"/>
  <c r="M2153"/>
  <c r="N2153"/>
  <c r="O2153"/>
  <c r="Q2153"/>
  <c r="C2154"/>
  <c r="D2154"/>
  <c r="M2154"/>
  <c r="N2154"/>
  <c r="O2154"/>
  <c r="Q2154"/>
  <c r="C2155"/>
  <c r="D2155"/>
  <c r="M2155"/>
  <c r="N2155"/>
  <c r="O2155"/>
  <c r="Q2155"/>
  <c r="C2156"/>
  <c r="D2156"/>
  <c r="M2156"/>
  <c r="N2156"/>
  <c r="O2156"/>
  <c r="Q2156"/>
  <c r="C2157"/>
  <c r="D2157"/>
  <c r="M2157"/>
  <c r="N2157"/>
  <c r="O2157"/>
  <c r="Q2157"/>
  <c r="C2158"/>
  <c r="D2158"/>
  <c r="M2158"/>
  <c r="N2158"/>
  <c r="O2158"/>
  <c r="Q2158"/>
  <c r="C2159"/>
  <c r="D2159"/>
  <c r="M2159"/>
  <c r="N2159"/>
  <c r="O2159"/>
  <c r="Q2159"/>
  <c r="C2160"/>
  <c r="D2160"/>
  <c r="M2160"/>
  <c r="N2160"/>
  <c r="O2160"/>
  <c r="Q2160"/>
  <c r="C2161"/>
  <c r="D2161"/>
  <c r="M2161"/>
  <c r="N2161"/>
  <c r="O2161"/>
  <c r="Q2161"/>
  <c r="C2162"/>
  <c r="D2162"/>
  <c r="M2162"/>
  <c r="N2162"/>
  <c r="O2162"/>
  <c r="Q2162"/>
  <c r="C2163"/>
  <c r="D2163"/>
  <c r="M2163"/>
  <c r="N2163"/>
  <c r="O2163"/>
  <c r="Q2163"/>
  <c r="C2164"/>
  <c r="D2164"/>
  <c r="M2164"/>
  <c r="N2164"/>
  <c r="O2164"/>
  <c r="Q2164"/>
  <c r="C2165"/>
  <c r="D2165"/>
  <c r="M2165"/>
  <c r="N2165"/>
  <c r="O2165"/>
  <c r="Q2165"/>
  <c r="C2166"/>
  <c r="D2166"/>
  <c r="M2166"/>
  <c r="N2166"/>
  <c r="O2166"/>
  <c r="Q2166"/>
  <c r="C2167"/>
  <c r="D2167"/>
  <c r="M2167"/>
  <c r="N2167"/>
  <c r="O2167"/>
  <c r="Q2167"/>
  <c r="C2168"/>
  <c r="D2168"/>
  <c r="M2168"/>
  <c r="N2168"/>
  <c r="O2168"/>
  <c r="Q2168"/>
  <c r="C2169"/>
  <c r="D2169"/>
  <c r="M2169"/>
  <c r="N2169"/>
  <c r="O2169"/>
  <c r="Q2169"/>
  <c r="C2170"/>
  <c r="D2170"/>
  <c r="M2170"/>
  <c r="N2170"/>
  <c r="O2170"/>
  <c r="Q2170"/>
  <c r="C2171"/>
  <c r="D2171"/>
  <c r="M2171"/>
  <c r="N2171"/>
  <c r="O2171"/>
  <c r="Q2171"/>
  <c r="C2172"/>
  <c r="D2172"/>
  <c r="M2172"/>
  <c r="N2172"/>
  <c r="O2172"/>
  <c r="Q2172"/>
  <c r="C2173"/>
  <c r="D2173"/>
  <c r="M2173"/>
  <c r="N2173"/>
  <c r="O2173"/>
  <c r="Q2173"/>
  <c r="C2174"/>
  <c r="D2174"/>
  <c r="M2174"/>
  <c r="N2174"/>
  <c r="O2174"/>
  <c r="Q2174"/>
  <c r="C2175"/>
  <c r="D2175"/>
  <c r="M2175"/>
  <c r="N2175"/>
  <c r="O2175"/>
  <c r="Q2175"/>
  <c r="C2176"/>
  <c r="D2176"/>
  <c r="M2176"/>
  <c r="N2176"/>
  <c r="O2176"/>
  <c r="Q2176"/>
  <c r="C2177"/>
  <c r="D2177"/>
  <c r="M2177"/>
  <c r="N2177"/>
  <c r="O2177"/>
  <c r="Q2177"/>
  <c r="C2178"/>
  <c r="D2178"/>
  <c r="M2178"/>
  <c r="N2178"/>
  <c r="O2178"/>
  <c r="Q2178"/>
  <c r="C2179"/>
  <c r="D2179"/>
  <c r="M2179"/>
  <c r="N2179"/>
  <c r="O2179"/>
  <c r="Q2179"/>
  <c r="C2180"/>
  <c r="D2180"/>
  <c r="M2180"/>
  <c r="N2180"/>
  <c r="O2180"/>
  <c r="Q2180"/>
  <c r="C2181"/>
  <c r="D2181"/>
  <c r="M2181"/>
  <c r="N2181"/>
  <c r="O2181"/>
  <c r="Q2181"/>
  <c r="C2182"/>
  <c r="D2182"/>
  <c r="M2182"/>
  <c r="N2182"/>
  <c r="O2182"/>
  <c r="Q2182"/>
  <c r="C2183"/>
  <c r="D2183"/>
  <c r="M2183"/>
  <c r="N2183"/>
  <c r="O2183"/>
  <c r="Q2183"/>
  <c r="C2184"/>
  <c r="D2184"/>
  <c r="M2184"/>
  <c r="N2184"/>
  <c r="O2184"/>
  <c r="Q2184"/>
  <c r="C2185"/>
  <c r="D2185"/>
  <c r="M2185"/>
  <c r="N2185"/>
  <c r="O2185"/>
  <c r="Q2185"/>
  <c r="C2186"/>
  <c r="D2186"/>
  <c r="M2186"/>
  <c r="N2186"/>
  <c r="O2186"/>
  <c r="Q2186"/>
  <c r="C2187"/>
  <c r="D2187"/>
  <c r="M2187"/>
  <c r="N2187"/>
  <c r="O2187"/>
  <c r="Q2187"/>
  <c r="C2188"/>
  <c r="D2188"/>
  <c r="M2188"/>
  <c r="N2188"/>
  <c r="O2188"/>
  <c r="Q2188"/>
  <c r="C2189"/>
  <c r="D2189"/>
  <c r="M2189"/>
  <c r="N2189"/>
  <c r="O2189"/>
  <c r="Q2189"/>
  <c r="C2190"/>
  <c r="D2190"/>
  <c r="M2190"/>
  <c r="N2190"/>
  <c r="O2190"/>
  <c r="Q2190"/>
  <c r="C2191"/>
  <c r="D2191"/>
  <c r="M2191"/>
  <c r="N2191"/>
  <c r="O2191"/>
  <c r="Q2191"/>
  <c r="C2192"/>
  <c r="D2192"/>
  <c r="M2192"/>
  <c r="N2192"/>
  <c r="O2192"/>
  <c r="Q2192"/>
  <c r="C2193"/>
  <c r="D2193"/>
  <c r="M2193"/>
  <c r="N2193"/>
  <c r="O2193"/>
  <c r="Q2193"/>
  <c r="C2194"/>
  <c r="D2194"/>
  <c r="M2194"/>
  <c r="N2194"/>
  <c r="O2194"/>
  <c r="Q2194"/>
  <c r="C2195"/>
  <c r="D2195"/>
  <c r="M2195"/>
  <c r="N2195"/>
  <c r="O2195"/>
  <c r="Q2195"/>
  <c r="C2196"/>
  <c r="D2196"/>
  <c r="M2196"/>
  <c r="N2196"/>
  <c r="O2196"/>
  <c r="Q2196"/>
  <c r="C2197"/>
  <c r="D2197"/>
  <c r="M2197"/>
  <c r="N2197"/>
  <c r="O2197"/>
  <c r="Q2197"/>
  <c r="C2198"/>
  <c r="D2198"/>
  <c r="M2198"/>
  <c r="N2198"/>
  <c r="O2198"/>
  <c r="Q2198"/>
  <c r="C2199"/>
  <c r="D2199"/>
  <c r="M2199"/>
  <c r="N2199"/>
  <c r="O2199"/>
  <c r="Q2199"/>
  <c r="C2200"/>
  <c r="D2200"/>
  <c r="M2200"/>
  <c r="N2200"/>
  <c r="O2200"/>
  <c r="Q2200"/>
  <c r="C2201"/>
  <c r="D2201"/>
  <c r="M2201"/>
  <c r="N2201"/>
  <c r="O2201"/>
  <c r="Q2201"/>
  <c r="C2202"/>
  <c r="D2202"/>
  <c r="M2202"/>
  <c r="N2202"/>
  <c r="O2202"/>
  <c r="Q2202"/>
  <c r="C2203"/>
  <c r="D2203"/>
  <c r="M2203"/>
  <c r="N2203"/>
  <c r="O2203"/>
  <c r="Q2203"/>
  <c r="C2204"/>
  <c r="D2204"/>
  <c r="M2204"/>
  <c r="N2204"/>
  <c r="O2204"/>
  <c r="Q2204"/>
  <c r="C2205"/>
  <c r="D2205"/>
  <c r="M2205"/>
  <c r="N2205"/>
  <c r="O2205"/>
  <c r="Q2205"/>
  <c r="C2206"/>
  <c r="D2206"/>
  <c r="M2206"/>
  <c r="N2206"/>
  <c r="O2206"/>
  <c r="Q2206"/>
  <c r="C2207"/>
  <c r="D2207"/>
  <c r="M2207"/>
  <c r="N2207"/>
  <c r="O2207"/>
  <c r="Q2207"/>
  <c r="C2208"/>
  <c r="D2208"/>
  <c r="M2208"/>
  <c r="N2208"/>
  <c r="O2208"/>
  <c r="Q2208"/>
  <c r="C2209"/>
  <c r="D2209"/>
  <c r="M2209"/>
  <c r="N2209"/>
  <c r="O2209"/>
  <c r="Q2209"/>
  <c r="C2210"/>
  <c r="D2210"/>
  <c r="M2210"/>
  <c r="N2210"/>
  <c r="O2210"/>
  <c r="Q2210"/>
  <c r="C2211"/>
  <c r="D2211"/>
  <c r="M2211"/>
  <c r="N2211"/>
  <c r="O2211"/>
  <c r="Q2211"/>
  <c r="C2212"/>
  <c r="D2212"/>
  <c r="M2212"/>
  <c r="N2212"/>
  <c r="O2212"/>
  <c r="Q2212"/>
  <c r="C2213"/>
  <c r="D2213"/>
  <c r="M2213"/>
  <c r="N2213"/>
  <c r="O2213"/>
  <c r="Q2213"/>
  <c r="C2214"/>
  <c r="D2214"/>
  <c r="M2214"/>
  <c r="N2214"/>
  <c r="O2214"/>
  <c r="Q2214"/>
  <c r="C2215"/>
  <c r="D2215"/>
  <c r="M2215"/>
  <c r="N2215"/>
  <c r="O2215"/>
  <c r="Q2215"/>
  <c r="C2216"/>
  <c r="D2216"/>
  <c r="M2216"/>
  <c r="N2216"/>
  <c r="O2216"/>
  <c r="Q2216"/>
  <c r="C2217"/>
  <c r="D2217"/>
  <c r="M2217"/>
  <c r="N2217"/>
  <c r="O2217"/>
  <c r="Q2217"/>
  <c r="C2218"/>
  <c r="D2218"/>
  <c r="M2218"/>
  <c r="N2218"/>
  <c r="O2218"/>
  <c r="Q2218"/>
  <c r="C2219"/>
  <c r="D2219"/>
  <c r="M2219"/>
  <c r="N2219"/>
  <c r="O2219"/>
  <c r="Q2219"/>
  <c r="C2220"/>
  <c r="D2220"/>
  <c r="M2220"/>
  <c r="N2220"/>
  <c r="O2220"/>
  <c r="Q2220"/>
  <c r="C2221"/>
  <c r="D2221"/>
  <c r="M2221"/>
  <c r="N2221"/>
  <c r="O2221"/>
  <c r="Q2221"/>
  <c r="C2222"/>
  <c r="D2222"/>
  <c r="M2222"/>
  <c r="N2222"/>
  <c r="O2222"/>
  <c r="Q2222"/>
  <c r="C2223"/>
  <c r="D2223"/>
  <c r="M2223"/>
  <c r="N2223"/>
  <c r="O2223"/>
  <c r="Q2223"/>
  <c r="C2224"/>
  <c r="D2224"/>
  <c r="M2224"/>
  <c r="N2224"/>
  <c r="O2224"/>
  <c r="Q2224"/>
  <c r="C2225"/>
  <c r="D2225"/>
  <c r="M2225"/>
  <c r="N2225"/>
  <c r="O2225"/>
  <c r="Q2225"/>
  <c r="C2226"/>
  <c r="D2226"/>
  <c r="M2226"/>
  <c r="N2226"/>
  <c r="O2226"/>
  <c r="Q2226"/>
  <c r="C2227"/>
  <c r="D2227"/>
  <c r="M2227"/>
  <c r="N2227"/>
  <c r="O2227"/>
  <c r="Q2227"/>
  <c r="C2228"/>
  <c r="D2228"/>
  <c r="M2228"/>
  <c r="N2228"/>
  <c r="O2228"/>
  <c r="Q2228"/>
  <c r="C2229"/>
  <c r="D2229"/>
  <c r="M2229"/>
  <c r="N2229"/>
  <c r="O2229"/>
  <c r="Q2229"/>
  <c r="C2230"/>
  <c r="D2230"/>
  <c r="M2230"/>
  <c r="N2230"/>
  <c r="O2230"/>
  <c r="Q2230"/>
  <c r="C2231"/>
  <c r="D2231"/>
  <c r="M2231"/>
  <c r="N2231"/>
  <c r="O2231"/>
  <c r="Q2231"/>
  <c r="C2232"/>
  <c r="D2232"/>
  <c r="M2232"/>
  <c r="N2232"/>
  <c r="O2232"/>
  <c r="Q2232"/>
  <c r="C2233"/>
  <c r="D2233"/>
  <c r="M2233"/>
  <c r="N2233"/>
  <c r="O2233"/>
  <c r="Q2233"/>
  <c r="C2234"/>
  <c r="D2234"/>
  <c r="M2234"/>
  <c r="N2234"/>
  <c r="O2234"/>
  <c r="Q2234"/>
  <c r="C2235"/>
  <c r="D2235"/>
  <c r="M2235"/>
  <c r="N2235"/>
  <c r="O2235"/>
  <c r="Q2235"/>
  <c r="C2236"/>
  <c r="D2236"/>
  <c r="M2236"/>
  <c r="N2236"/>
  <c r="O2236"/>
  <c r="Q2236"/>
  <c r="C2237"/>
  <c r="D2237"/>
  <c r="M2237"/>
  <c r="N2237"/>
  <c r="O2237"/>
  <c r="Q2237"/>
  <c r="C2238"/>
  <c r="D2238"/>
  <c r="M2238"/>
  <c r="N2238"/>
  <c r="O2238"/>
  <c r="Q2238"/>
  <c r="C2239"/>
  <c r="D2239"/>
  <c r="M2239"/>
  <c r="N2239"/>
  <c r="O2239"/>
  <c r="Q2239"/>
  <c r="C2240"/>
  <c r="D2240"/>
  <c r="M2240"/>
  <c r="N2240"/>
  <c r="O2240"/>
  <c r="Q2240"/>
  <c r="C2241"/>
  <c r="D2241"/>
  <c r="M2241"/>
  <c r="N2241"/>
  <c r="O2241"/>
  <c r="Q2241"/>
  <c r="C2242"/>
  <c r="D2242"/>
  <c r="M2242"/>
  <c r="N2242"/>
  <c r="O2242"/>
  <c r="Q2242"/>
  <c r="C2243"/>
  <c r="D2243"/>
  <c r="M2243"/>
  <c r="N2243"/>
  <c r="O2243"/>
  <c r="Q2243"/>
  <c r="C2244"/>
  <c r="D2244"/>
  <c r="M2244"/>
  <c r="N2244"/>
  <c r="O2244"/>
  <c r="Q2244"/>
  <c r="C2245"/>
  <c r="D2245"/>
  <c r="M2245"/>
  <c r="N2245"/>
  <c r="O2245"/>
  <c r="Q2245"/>
  <c r="C2246"/>
  <c r="D2246"/>
  <c r="M2246"/>
  <c r="N2246"/>
  <c r="O2246"/>
  <c r="Q2246"/>
  <c r="C2247"/>
  <c r="D2247"/>
  <c r="M2247"/>
  <c r="N2247"/>
  <c r="O2247"/>
  <c r="Q2247"/>
  <c r="C2248"/>
  <c r="D2248"/>
  <c r="M2248"/>
  <c r="N2248"/>
  <c r="O2248"/>
  <c r="Q2248"/>
  <c r="C2249"/>
  <c r="D2249"/>
  <c r="M2249"/>
  <c r="N2249"/>
  <c r="O2249"/>
  <c r="Q2249"/>
  <c r="C2250"/>
  <c r="D2250"/>
  <c r="M2250"/>
  <c r="N2250"/>
  <c r="O2250"/>
  <c r="Q2250"/>
  <c r="C2251"/>
  <c r="D2251"/>
  <c r="M2251"/>
  <c r="N2251"/>
  <c r="O2251"/>
  <c r="Q2251"/>
  <c r="C2252"/>
  <c r="D2252"/>
  <c r="M2252"/>
  <c r="N2252"/>
  <c r="O2252"/>
  <c r="Q2252"/>
  <c r="C2253"/>
  <c r="D2253"/>
  <c r="M2253"/>
  <c r="N2253"/>
  <c r="O2253"/>
  <c r="Q2253"/>
  <c r="C2254"/>
  <c r="D2254"/>
  <c r="M2254"/>
  <c r="N2254"/>
  <c r="O2254"/>
  <c r="Q2254"/>
  <c r="C2255"/>
  <c r="D2255"/>
  <c r="M2255"/>
  <c r="N2255"/>
  <c r="O2255"/>
  <c r="Q2255"/>
  <c r="C2256"/>
  <c r="D2256"/>
  <c r="M2256"/>
  <c r="N2256"/>
  <c r="O2256"/>
  <c r="Q2256"/>
  <c r="C2257"/>
  <c r="D2257"/>
  <c r="M2257"/>
  <c r="N2257"/>
  <c r="O2257"/>
  <c r="Q2257"/>
  <c r="C2258"/>
  <c r="D2258"/>
  <c r="M2258"/>
  <c r="N2258"/>
  <c r="O2258"/>
  <c r="Q2258"/>
  <c r="C2259"/>
  <c r="D2259"/>
  <c r="M2259"/>
  <c r="N2259"/>
  <c r="O2259"/>
  <c r="Q2259"/>
  <c r="C2260"/>
  <c r="D2260"/>
  <c r="M2260"/>
  <c r="N2260"/>
  <c r="O2260"/>
  <c r="Q2260"/>
  <c r="C2261"/>
  <c r="D2261"/>
  <c r="M2261"/>
  <c r="N2261"/>
  <c r="O2261"/>
  <c r="Q2261"/>
  <c r="C2262"/>
  <c r="D2262"/>
  <c r="M2262"/>
  <c r="N2262"/>
  <c r="O2262"/>
  <c r="Q2262"/>
  <c r="C2263"/>
  <c r="D2263"/>
  <c r="M2263"/>
  <c r="N2263"/>
  <c r="O2263"/>
  <c r="Q2263"/>
  <c r="C2264"/>
  <c r="D2264"/>
  <c r="M2264"/>
  <c r="N2264"/>
  <c r="O2264"/>
  <c r="Q2264"/>
  <c r="C2265"/>
  <c r="D2265"/>
  <c r="M2265"/>
  <c r="N2265"/>
  <c r="O2265"/>
  <c r="Q2265"/>
  <c r="C2266"/>
  <c r="D2266"/>
  <c r="M2266"/>
  <c r="N2266"/>
  <c r="O2266"/>
  <c r="Q2266"/>
  <c r="C2267"/>
  <c r="D2267"/>
  <c r="M2267"/>
  <c r="N2267"/>
  <c r="O2267"/>
  <c r="Q2267"/>
  <c r="C2268"/>
  <c r="D2268"/>
  <c r="M2268"/>
  <c r="N2268"/>
  <c r="O2268"/>
  <c r="Q2268"/>
  <c r="C2269"/>
  <c r="D2269"/>
  <c r="M2269"/>
  <c r="N2269"/>
  <c r="O2269"/>
  <c r="Q2269"/>
  <c r="C2270"/>
  <c r="D2270"/>
  <c r="M2270"/>
  <c r="N2270"/>
  <c r="O2270"/>
  <c r="Q2270"/>
  <c r="C2271"/>
  <c r="D2271"/>
  <c r="M2271"/>
  <c r="N2271"/>
  <c r="O2271"/>
  <c r="Q2271"/>
  <c r="C2272"/>
  <c r="D2272"/>
  <c r="M2272"/>
  <c r="N2272"/>
  <c r="O2272"/>
  <c r="Q2272"/>
  <c r="C2273"/>
  <c r="D2273"/>
  <c r="M2273"/>
  <c r="N2273"/>
  <c r="O2273"/>
  <c r="Q2273"/>
  <c r="C2274"/>
  <c r="D2274"/>
  <c r="M2274"/>
  <c r="N2274"/>
  <c r="O2274"/>
  <c r="Q2274"/>
  <c r="C2275"/>
  <c r="D2275"/>
  <c r="M2275"/>
  <c r="N2275"/>
  <c r="O2275"/>
  <c r="Q2275"/>
  <c r="C2276"/>
  <c r="D2276"/>
  <c r="M2276"/>
  <c r="N2276"/>
  <c r="O2276"/>
  <c r="Q2276"/>
  <c r="C2277"/>
  <c r="D2277"/>
  <c r="M2277"/>
  <c r="N2277"/>
  <c r="O2277"/>
  <c r="Q2277"/>
  <c r="C2278"/>
  <c r="D2278"/>
  <c r="M2278"/>
  <c r="N2278"/>
  <c r="O2278"/>
  <c r="Q2278"/>
  <c r="C2279"/>
  <c r="D2279"/>
  <c r="M2279"/>
  <c r="N2279"/>
  <c r="O2279"/>
  <c r="Q2279"/>
  <c r="C2280"/>
  <c r="D2280"/>
  <c r="M2280"/>
  <c r="N2280"/>
  <c r="O2280"/>
  <c r="Q2280"/>
  <c r="C2281"/>
  <c r="D2281"/>
  <c r="M2281"/>
  <c r="N2281"/>
  <c r="O2281"/>
  <c r="Q2281"/>
  <c r="C2282"/>
  <c r="D2282"/>
  <c r="M2282"/>
  <c r="N2282"/>
  <c r="O2282"/>
  <c r="Q2282"/>
  <c r="C2283"/>
  <c r="D2283"/>
  <c r="M2283"/>
  <c r="N2283"/>
  <c r="O2283"/>
  <c r="Q2283"/>
  <c r="C2284"/>
  <c r="D2284"/>
  <c r="M2284"/>
  <c r="N2284"/>
  <c r="O2284"/>
  <c r="Q2284"/>
  <c r="C2285"/>
  <c r="D2285"/>
  <c r="M2285"/>
  <c r="N2285"/>
  <c r="O2285"/>
  <c r="Q2285"/>
  <c r="C2286"/>
  <c r="D2286"/>
  <c r="M2286"/>
  <c r="N2286"/>
  <c r="O2286"/>
  <c r="Q2286"/>
  <c r="C2287"/>
  <c r="D2287"/>
  <c r="M2287"/>
  <c r="N2287"/>
  <c r="O2287"/>
  <c r="Q2287"/>
  <c r="C2288"/>
  <c r="D2288"/>
  <c r="M2288"/>
  <c r="N2288"/>
  <c r="O2288"/>
  <c r="Q2288"/>
  <c r="C2289"/>
  <c r="D2289"/>
  <c r="M2289"/>
  <c r="N2289"/>
  <c r="O2289"/>
  <c r="Q2289"/>
  <c r="C2290"/>
  <c r="D2290"/>
  <c r="M2290"/>
  <c r="N2290"/>
  <c r="O2290"/>
  <c r="Q2290"/>
  <c r="C2291"/>
  <c r="D2291"/>
  <c r="M2291"/>
  <c r="N2291"/>
  <c r="O2291"/>
  <c r="Q2291"/>
  <c r="C2292"/>
  <c r="D2292"/>
  <c r="M2292"/>
  <c r="N2292"/>
  <c r="O2292"/>
  <c r="Q2292"/>
  <c r="C2293"/>
  <c r="D2293"/>
  <c r="M2293"/>
  <c r="N2293"/>
  <c r="O2293"/>
  <c r="Q2293"/>
  <c r="C2294"/>
  <c r="D2294"/>
  <c r="M2294"/>
  <c r="N2294"/>
  <c r="O2294"/>
  <c r="Q2294"/>
  <c r="C2295"/>
  <c r="D2295"/>
  <c r="M2295"/>
  <c r="N2295"/>
  <c r="O2295"/>
  <c r="Q2295"/>
  <c r="C2296"/>
  <c r="D2296"/>
  <c r="M2296"/>
  <c r="N2296"/>
  <c r="O2296"/>
  <c r="Q2296"/>
  <c r="C2297"/>
  <c r="D2297"/>
  <c r="M2297"/>
  <c r="N2297"/>
  <c r="O2297"/>
  <c r="Q2297"/>
  <c r="C2298"/>
  <c r="D2298"/>
  <c r="M2298"/>
  <c r="N2298"/>
  <c r="O2298"/>
  <c r="Q2298"/>
  <c r="C2299"/>
  <c r="D2299"/>
  <c r="M2299"/>
  <c r="N2299"/>
  <c r="O2299"/>
  <c r="Q2299"/>
  <c r="C2300"/>
  <c r="D2300"/>
  <c r="M2300"/>
  <c r="N2300"/>
  <c r="O2300"/>
  <c r="Q2300"/>
  <c r="C2301"/>
  <c r="D2301"/>
  <c r="M2301"/>
  <c r="N2301"/>
  <c r="O2301"/>
  <c r="Q2301"/>
  <c r="C2302"/>
  <c r="D2302"/>
  <c r="M2302"/>
  <c r="N2302"/>
  <c r="O2302"/>
  <c r="Q2302"/>
  <c r="C2303"/>
  <c r="D2303"/>
  <c r="M2303"/>
  <c r="N2303"/>
  <c r="O2303"/>
  <c r="Q2303"/>
  <c r="C2304"/>
  <c r="D2304"/>
  <c r="M2304"/>
  <c r="N2304"/>
  <c r="O2304"/>
  <c r="Q2304"/>
  <c r="C2305"/>
  <c r="D2305"/>
  <c r="M2305"/>
  <c r="N2305"/>
  <c r="O2305"/>
  <c r="Q2305"/>
  <c r="C2306"/>
  <c r="D2306"/>
  <c r="M2306"/>
  <c r="N2306"/>
  <c r="O2306"/>
  <c r="Q2306"/>
  <c r="C2307"/>
  <c r="D2307"/>
  <c r="M2307"/>
  <c r="N2307"/>
  <c r="O2307"/>
  <c r="Q2307"/>
  <c r="C2308"/>
  <c r="D2308"/>
  <c r="M2308"/>
  <c r="N2308"/>
  <c r="O2308"/>
  <c r="Q2308"/>
  <c r="C2309"/>
  <c r="D2309"/>
  <c r="M2309"/>
  <c r="N2309"/>
  <c r="O2309"/>
  <c r="Q2309"/>
  <c r="C2310"/>
  <c r="D2310"/>
  <c r="M2310"/>
  <c r="N2310"/>
  <c r="O2310"/>
  <c r="Q2310"/>
  <c r="C2311"/>
  <c r="D2311"/>
  <c r="M2311"/>
  <c r="N2311"/>
  <c r="O2311"/>
  <c r="Q2311"/>
  <c r="C2312"/>
  <c r="D2312"/>
  <c r="M2312"/>
  <c r="N2312"/>
  <c r="O2312"/>
  <c r="Q2312"/>
  <c r="C2313"/>
  <c r="D2313"/>
  <c r="M2313"/>
  <c r="N2313"/>
  <c r="O2313"/>
  <c r="Q2313"/>
  <c r="C2314"/>
  <c r="D2314"/>
  <c r="M2314"/>
  <c r="N2314"/>
  <c r="O2314"/>
  <c r="Q2314"/>
  <c r="C2315"/>
  <c r="D2315"/>
  <c r="M2315"/>
  <c r="N2315"/>
  <c r="O2315"/>
  <c r="Q2315"/>
  <c r="C2316"/>
  <c r="D2316"/>
  <c r="M2316"/>
  <c r="N2316"/>
  <c r="O2316"/>
  <c r="Q2316"/>
  <c r="C2317"/>
  <c r="D2317"/>
  <c r="M2317"/>
  <c r="N2317"/>
  <c r="O2317"/>
  <c r="Q2317"/>
  <c r="C2318"/>
  <c r="D2318"/>
  <c r="M2318"/>
  <c r="N2318"/>
  <c r="O2318"/>
  <c r="Q2318"/>
  <c r="C2319"/>
  <c r="D2319"/>
  <c r="M2319"/>
  <c r="N2319"/>
  <c r="O2319"/>
  <c r="Q2319"/>
  <c r="C2320"/>
  <c r="D2320"/>
  <c r="M2320"/>
  <c r="N2320"/>
  <c r="O2320"/>
  <c r="Q2320"/>
  <c r="C2321"/>
  <c r="D2321"/>
  <c r="M2321"/>
  <c r="N2321"/>
  <c r="O2321"/>
  <c r="Q2321"/>
  <c r="C2322"/>
  <c r="D2322"/>
  <c r="M2322"/>
  <c r="N2322"/>
  <c r="O2322"/>
  <c r="Q2322"/>
  <c r="C2323"/>
  <c r="D2323"/>
  <c r="M2323"/>
  <c r="N2323"/>
  <c r="O2323"/>
  <c r="Q2323"/>
  <c r="C2324"/>
  <c r="D2324"/>
  <c r="M2324"/>
  <c r="N2324"/>
  <c r="O2324"/>
  <c r="Q2324"/>
  <c r="C2325"/>
  <c r="D2325"/>
  <c r="M2325"/>
  <c r="N2325"/>
  <c r="O2325"/>
  <c r="Q2325"/>
  <c r="C2326"/>
  <c r="D2326"/>
  <c r="M2326"/>
  <c r="N2326"/>
  <c r="O2326"/>
  <c r="Q2326"/>
  <c r="C2327"/>
  <c r="D2327"/>
  <c r="M2327"/>
  <c r="N2327"/>
  <c r="O2327"/>
  <c r="Q2327"/>
  <c r="C2328"/>
  <c r="D2328"/>
  <c r="M2328"/>
  <c r="N2328"/>
  <c r="O2328"/>
  <c r="Q2328"/>
  <c r="C2329"/>
  <c r="D2329"/>
  <c r="M2329"/>
  <c r="N2329"/>
  <c r="O2329"/>
  <c r="Q2329"/>
  <c r="C2330"/>
  <c r="D2330"/>
  <c r="M2330"/>
  <c r="N2330"/>
  <c r="O2330"/>
  <c r="Q2330"/>
  <c r="C2331"/>
  <c r="D2331"/>
  <c r="M2331"/>
  <c r="N2331"/>
  <c r="O2331"/>
  <c r="Q2331"/>
  <c r="C2332"/>
  <c r="D2332"/>
  <c r="M2332"/>
  <c r="N2332"/>
  <c r="O2332"/>
  <c r="Q2332"/>
  <c r="C2333"/>
  <c r="D2333"/>
  <c r="M2333"/>
  <c r="N2333"/>
  <c r="O2333"/>
  <c r="Q2333"/>
  <c r="C2334"/>
  <c r="D2334"/>
  <c r="M2334"/>
  <c r="N2334"/>
  <c r="O2334"/>
  <c r="Q2334"/>
  <c r="C2335"/>
  <c r="D2335"/>
  <c r="M2335"/>
  <c r="N2335"/>
  <c r="O2335"/>
  <c r="Q2335"/>
  <c r="C2336"/>
  <c r="D2336"/>
  <c r="M2336"/>
  <c r="N2336"/>
  <c r="O2336"/>
  <c r="Q2336"/>
  <c r="C2337"/>
  <c r="D2337"/>
  <c r="M2337"/>
  <c r="N2337"/>
  <c r="O2337"/>
  <c r="Q2337"/>
  <c r="C2338"/>
  <c r="D2338"/>
  <c r="M2338"/>
  <c r="N2338"/>
  <c r="O2338"/>
  <c r="Q2338"/>
  <c r="C2339"/>
  <c r="D2339"/>
  <c r="M2339"/>
  <c r="N2339"/>
  <c r="O2339"/>
  <c r="Q2339"/>
  <c r="C2340"/>
  <c r="D2340"/>
  <c r="M2340"/>
  <c r="N2340"/>
  <c r="O2340"/>
  <c r="Q2340"/>
  <c r="C2341"/>
  <c r="D2341"/>
  <c r="M2341"/>
  <c r="N2341"/>
  <c r="O2341"/>
  <c r="Q2341"/>
  <c r="C2342"/>
  <c r="D2342"/>
  <c r="M2342"/>
  <c r="N2342"/>
  <c r="O2342"/>
  <c r="Q2342"/>
  <c r="C2343"/>
  <c r="D2343"/>
  <c r="M2343"/>
  <c r="N2343"/>
  <c r="O2343"/>
  <c r="Q2343"/>
  <c r="C2344"/>
  <c r="D2344"/>
  <c r="M2344"/>
  <c r="N2344"/>
  <c r="O2344"/>
  <c r="Q2344"/>
  <c r="C2345"/>
  <c r="D2345"/>
  <c r="M2345"/>
  <c r="N2345"/>
  <c r="O2345"/>
  <c r="Q2345"/>
  <c r="C2346"/>
  <c r="D2346"/>
  <c r="M2346"/>
  <c r="N2346"/>
  <c r="O2346"/>
  <c r="Q2346"/>
  <c r="C2347"/>
  <c r="D2347"/>
  <c r="M2347"/>
  <c r="N2347"/>
  <c r="O2347"/>
  <c r="Q2347"/>
  <c r="C2348"/>
  <c r="D2348"/>
  <c r="M2348"/>
  <c r="N2348"/>
  <c r="O2348"/>
  <c r="Q2348"/>
  <c r="C2349"/>
  <c r="D2349"/>
  <c r="M2349"/>
  <c r="N2349"/>
  <c r="O2349"/>
  <c r="Q2349"/>
  <c r="C2350"/>
  <c r="D2350"/>
  <c r="M2350"/>
  <c r="N2350"/>
  <c r="O2350"/>
  <c r="Q2350"/>
  <c r="C2351"/>
  <c r="D2351"/>
  <c r="M2351"/>
  <c r="N2351"/>
  <c r="O2351"/>
  <c r="Q2351"/>
  <c r="C2352"/>
  <c r="D2352"/>
  <c r="M2352"/>
  <c r="N2352"/>
  <c r="O2352"/>
  <c r="Q2352"/>
  <c r="C2353"/>
  <c r="D2353"/>
  <c r="M2353"/>
  <c r="N2353"/>
  <c r="O2353"/>
  <c r="Q2353"/>
  <c r="C2354"/>
  <c r="D2354"/>
  <c r="M2354"/>
  <c r="N2354"/>
  <c r="O2354"/>
  <c r="Q2354"/>
  <c r="C2355"/>
  <c r="D2355"/>
  <c r="M2355"/>
  <c r="N2355"/>
  <c r="O2355"/>
  <c r="Q2355"/>
  <c r="C2356"/>
  <c r="D2356"/>
  <c r="M2356"/>
  <c r="N2356"/>
  <c r="O2356"/>
  <c r="Q2356"/>
  <c r="C2357"/>
  <c r="D2357"/>
  <c r="M2357"/>
  <c r="N2357"/>
  <c r="O2357"/>
  <c r="Q2357"/>
  <c r="C2358"/>
  <c r="D2358"/>
  <c r="M2358"/>
  <c r="N2358"/>
  <c r="O2358"/>
  <c r="Q2358"/>
  <c r="C2359"/>
  <c r="D2359"/>
  <c r="M2359"/>
  <c r="N2359"/>
  <c r="O2359"/>
  <c r="Q2359"/>
  <c r="C2360"/>
  <c r="D2360"/>
  <c r="M2360"/>
  <c r="N2360"/>
  <c r="O2360"/>
  <c r="Q2360"/>
  <c r="C2361"/>
  <c r="D2361"/>
  <c r="M2361"/>
  <c r="N2361"/>
  <c r="O2361"/>
  <c r="Q2361"/>
  <c r="C2362"/>
  <c r="D2362"/>
  <c r="M2362"/>
  <c r="N2362"/>
  <c r="O2362"/>
  <c r="Q2362"/>
  <c r="C2363"/>
  <c r="D2363"/>
  <c r="M2363"/>
  <c r="N2363"/>
  <c r="O2363"/>
  <c r="Q2363"/>
  <c r="C2364"/>
  <c r="D2364"/>
  <c r="M2364"/>
  <c r="N2364"/>
  <c r="O2364"/>
  <c r="Q2364"/>
  <c r="C2365"/>
  <c r="D2365"/>
  <c r="M2365"/>
  <c r="N2365"/>
  <c r="O2365"/>
  <c r="Q2365"/>
  <c r="C2366"/>
  <c r="D2366"/>
  <c r="M2366"/>
  <c r="N2366"/>
  <c r="O2366"/>
  <c r="Q2366"/>
  <c r="C2367"/>
  <c r="D2367"/>
  <c r="M2367"/>
  <c r="N2367"/>
  <c r="O2367"/>
  <c r="Q2367"/>
  <c r="C2368"/>
  <c r="D2368"/>
  <c r="M2368"/>
  <c r="N2368"/>
  <c r="O2368"/>
  <c r="Q2368"/>
  <c r="C2369"/>
  <c r="D2369"/>
  <c r="M2369"/>
  <c r="N2369"/>
  <c r="O2369"/>
  <c r="Q2369"/>
  <c r="C2370"/>
  <c r="D2370"/>
  <c r="M2370"/>
  <c r="N2370"/>
  <c r="O2370"/>
  <c r="Q2370"/>
  <c r="C2371"/>
  <c r="D2371"/>
  <c r="M2371"/>
  <c r="N2371"/>
  <c r="O2371"/>
  <c r="Q2371"/>
  <c r="C2372"/>
  <c r="D2372"/>
  <c r="M2372"/>
  <c r="N2372"/>
  <c r="O2372"/>
  <c r="Q2372"/>
  <c r="C2373"/>
  <c r="D2373"/>
  <c r="M2373"/>
  <c r="N2373"/>
  <c r="O2373"/>
  <c r="Q2373"/>
  <c r="C2374"/>
  <c r="D2374"/>
  <c r="M2374"/>
  <c r="N2374"/>
  <c r="O2374"/>
  <c r="Q2374"/>
  <c r="C2375"/>
  <c r="D2375"/>
  <c r="M2375"/>
  <c r="N2375"/>
  <c r="O2375"/>
  <c r="Q2375"/>
  <c r="C2376"/>
  <c r="D2376"/>
  <c r="M2376"/>
  <c r="N2376"/>
  <c r="O2376"/>
  <c r="Q2376"/>
  <c r="C2377"/>
  <c r="D2377"/>
  <c r="M2377"/>
  <c r="N2377"/>
  <c r="O2377"/>
  <c r="Q2377"/>
  <c r="C2378"/>
  <c r="D2378"/>
  <c r="M2378"/>
  <c r="N2378"/>
  <c r="O2378"/>
  <c r="Q2378"/>
  <c r="C2379"/>
  <c r="D2379"/>
  <c r="M2379"/>
  <c r="N2379"/>
  <c r="O2379"/>
  <c r="Q2379"/>
  <c r="C2380"/>
  <c r="D2380"/>
  <c r="M2380"/>
  <c r="N2380"/>
  <c r="O2380"/>
  <c r="Q2380"/>
  <c r="C2381"/>
  <c r="D2381"/>
  <c r="M2381"/>
  <c r="N2381"/>
  <c r="O2381"/>
  <c r="Q2381"/>
  <c r="C2382"/>
  <c r="D2382"/>
  <c r="M2382"/>
  <c r="N2382"/>
  <c r="O2382"/>
  <c r="Q2382"/>
  <c r="C2383"/>
  <c r="D2383"/>
  <c r="M2383"/>
  <c r="N2383"/>
  <c r="O2383"/>
  <c r="Q2383"/>
  <c r="C2384"/>
  <c r="D2384"/>
  <c r="M2384"/>
  <c r="N2384"/>
  <c r="O2384"/>
  <c r="Q2384"/>
  <c r="C2385"/>
  <c r="D2385"/>
  <c r="M2385"/>
  <c r="N2385"/>
  <c r="O2385"/>
  <c r="Q2385"/>
  <c r="C2386"/>
  <c r="D2386"/>
  <c r="M2386"/>
  <c r="N2386"/>
  <c r="O2386"/>
  <c r="Q2386"/>
  <c r="C2387"/>
  <c r="D2387"/>
  <c r="M2387"/>
  <c r="N2387"/>
  <c r="O2387"/>
  <c r="Q2387"/>
  <c r="C2388"/>
  <c r="D2388"/>
  <c r="M2388"/>
  <c r="N2388"/>
  <c r="O2388"/>
  <c r="Q2388"/>
  <c r="C2389"/>
  <c r="D2389"/>
  <c r="M2389"/>
  <c r="N2389"/>
  <c r="O2389"/>
  <c r="Q2389"/>
  <c r="C2390"/>
  <c r="D2390"/>
  <c r="M2390"/>
  <c r="N2390"/>
  <c r="O2390"/>
  <c r="Q2390"/>
  <c r="C2391"/>
  <c r="D2391"/>
  <c r="M2391"/>
  <c r="N2391"/>
  <c r="O2391"/>
  <c r="Q2391"/>
  <c r="C2392"/>
  <c r="D2392"/>
  <c r="M2392"/>
  <c r="N2392"/>
  <c r="O2392"/>
  <c r="Q2392"/>
  <c r="C2393"/>
  <c r="D2393"/>
  <c r="M2393"/>
  <c r="N2393"/>
  <c r="O2393"/>
  <c r="Q2393"/>
  <c r="C2394"/>
  <c r="D2394"/>
  <c r="M2394"/>
  <c r="N2394"/>
  <c r="O2394"/>
  <c r="Q2394"/>
  <c r="C2395"/>
  <c r="D2395"/>
  <c r="M2395"/>
  <c r="N2395"/>
  <c r="O2395"/>
  <c r="Q2395"/>
  <c r="C2396"/>
  <c r="D2396"/>
  <c r="M2396"/>
  <c r="N2396"/>
  <c r="O2396"/>
  <c r="Q2396"/>
  <c r="C2397"/>
  <c r="D2397"/>
  <c r="M2397"/>
  <c r="N2397"/>
  <c r="O2397"/>
  <c r="Q2397"/>
  <c r="C2398"/>
  <c r="D2398"/>
  <c r="M2398"/>
  <c r="N2398"/>
  <c r="O2398"/>
  <c r="Q2398"/>
  <c r="C2399"/>
  <c r="D2399"/>
  <c r="M2399"/>
  <c r="N2399"/>
  <c r="O2399"/>
  <c r="Q2399"/>
  <c r="C2400"/>
  <c r="D2400"/>
  <c r="M2400"/>
  <c r="N2400"/>
  <c r="O2400"/>
  <c r="Q2400"/>
  <c r="C2401"/>
  <c r="D2401"/>
  <c r="M2401"/>
  <c r="N2401"/>
  <c r="O2401"/>
  <c r="Q2401"/>
  <c r="C2402"/>
  <c r="D2402"/>
  <c r="M2402"/>
  <c r="N2402"/>
  <c r="O2402"/>
  <c r="Q2402"/>
  <c r="C2403"/>
  <c r="D2403"/>
  <c r="M2403"/>
  <c r="N2403"/>
  <c r="O2403"/>
  <c r="Q2403"/>
  <c r="C2404"/>
  <c r="D2404"/>
  <c r="M2404"/>
  <c r="N2404"/>
  <c r="O2404"/>
  <c r="Q2404"/>
  <c r="C2405"/>
  <c r="D2405"/>
  <c r="M2405"/>
  <c r="N2405"/>
  <c r="O2405"/>
  <c r="Q2405"/>
  <c r="C2406"/>
  <c r="D2406"/>
  <c r="M2406"/>
  <c r="N2406"/>
  <c r="O2406"/>
  <c r="Q2406"/>
  <c r="C2407"/>
  <c r="D2407"/>
  <c r="M2407"/>
  <c r="N2407"/>
  <c r="O2407"/>
  <c r="Q2407"/>
  <c r="C2408"/>
  <c r="D2408"/>
  <c r="M2408"/>
  <c r="N2408"/>
  <c r="O2408"/>
  <c r="Q2408"/>
  <c r="C2409"/>
  <c r="D2409"/>
  <c r="M2409"/>
  <c r="N2409"/>
  <c r="O2409"/>
  <c r="Q2409"/>
  <c r="C2410"/>
  <c r="D2410"/>
  <c r="M2410"/>
  <c r="N2410"/>
  <c r="O2410"/>
  <c r="Q2410"/>
  <c r="C2411"/>
  <c r="D2411"/>
  <c r="M2411"/>
  <c r="N2411"/>
  <c r="O2411"/>
  <c r="Q2411"/>
  <c r="C2412"/>
  <c r="D2412"/>
  <c r="M2412"/>
  <c r="N2412"/>
  <c r="O2412"/>
  <c r="Q2412"/>
  <c r="C2413"/>
  <c r="D2413"/>
  <c r="M2413"/>
  <c r="N2413"/>
  <c r="O2413"/>
  <c r="Q2413"/>
  <c r="C2414"/>
  <c r="D2414"/>
  <c r="M2414"/>
  <c r="N2414"/>
  <c r="O2414"/>
  <c r="Q2414"/>
  <c r="C2415"/>
  <c r="D2415"/>
  <c r="M2415"/>
  <c r="N2415"/>
  <c r="O2415"/>
  <c r="Q2415"/>
  <c r="C2416"/>
  <c r="D2416"/>
  <c r="M2416"/>
  <c r="N2416"/>
  <c r="O2416"/>
  <c r="Q2416"/>
  <c r="C2417"/>
  <c r="D2417"/>
  <c r="M2417"/>
  <c r="N2417"/>
  <c r="O2417"/>
  <c r="Q2417"/>
  <c r="C2418"/>
  <c r="D2418"/>
  <c r="M2418"/>
  <c r="N2418"/>
  <c r="O2418"/>
  <c r="Q2418"/>
  <c r="C2419"/>
  <c r="D2419"/>
  <c r="M2419"/>
  <c r="N2419"/>
  <c r="O2419"/>
  <c r="Q2419"/>
  <c r="C2420"/>
  <c r="D2420"/>
  <c r="M2420"/>
  <c r="N2420"/>
  <c r="O2420"/>
  <c r="Q2420"/>
  <c r="C2421"/>
  <c r="D2421"/>
  <c r="M2421"/>
  <c r="N2421"/>
  <c r="O2421"/>
  <c r="Q2421"/>
  <c r="C2422"/>
  <c r="D2422"/>
  <c r="M2422"/>
  <c r="N2422"/>
  <c r="O2422"/>
  <c r="Q2422"/>
  <c r="C2423"/>
  <c r="D2423"/>
  <c r="M2423"/>
  <c r="N2423"/>
  <c r="O2423"/>
  <c r="Q2423"/>
  <c r="C2424"/>
  <c r="D2424"/>
  <c r="M2424"/>
  <c r="N2424"/>
  <c r="O2424"/>
  <c r="Q2424"/>
  <c r="C2425"/>
  <c r="D2425"/>
  <c r="M2425"/>
  <c r="N2425"/>
  <c r="O2425"/>
  <c r="Q2425"/>
</calcChain>
</file>

<file path=xl/sharedStrings.xml><?xml version="1.0" encoding="utf-8"?>
<sst xmlns="http://schemas.openxmlformats.org/spreadsheetml/2006/main" count="23260" uniqueCount="1797">
  <si>
    <t>TTC_TYP_ID</t>
  </si>
  <si>
    <t>CAR_BRAND</t>
  </si>
  <si>
    <t>CAR_MODEL</t>
  </si>
  <si>
    <t>CAR_TYP</t>
  </si>
  <si>
    <t>CAR_BODY</t>
  </si>
  <si>
    <t>CAR_OF_YEAR</t>
  </si>
  <si>
    <t>CAR_TO_YEAR</t>
  </si>
  <si>
    <t>CAR_KW</t>
  </si>
  <si>
    <t>CAR_PM</t>
  </si>
  <si>
    <t>CAR_CC</t>
  </si>
  <si>
    <t>TTC_ART_ID</t>
  </si>
  <si>
    <t>ART_BRAND</t>
  </si>
  <si>
    <t>ART_CODE_1</t>
  </si>
  <si>
    <t>ART_CODE_2</t>
  </si>
  <si>
    <t>CODE_PARTS_USERNUMBER</t>
  </si>
  <si>
    <t>ART_NAME</t>
  </si>
  <si>
    <t>ART_EAN</t>
  </si>
  <si>
    <t>PARTS_INFO</t>
  </si>
  <si>
    <t>TERMS_OF_USE</t>
  </si>
  <si>
    <t>ART_CROSS</t>
  </si>
  <si>
    <t>TTC_GA_ID</t>
  </si>
  <si>
    <t>GA_NAME</t>
  </si>
  <si>
    <t>GA_STANDARD</t>
  </si>
  <si>
    <t>GA_ASSEMBLY</t>
  </si>
  <si>
    <t>GA_INTENDED</t>
  </si>
  <si>
    <t>ACURA</t>
  </si>
  <si>
    <t>Saloon</t>
  </si>
  <si>
    <t>ASHUKI</t>
  </si>
  <si>
    <t>Starter Battery</t>
  </si>
  <si>
    <t>Battery</t>
  </si>
  <si>
    <t>Starter System</t>
  </si>
  <si>
    <t>YUASA</t>
  </si>
  <si>
    <t>GS</t>
  </si>
  <si>
    <t>NIPPARTS</t>
  </si>
  <si>
    <t>Starter</t>
  </si>
  <si>
    <t>Voltage, V &gt;&gt; 12 | Teeth Quant.,  &gt;&gt; 9 | Starter Output, kW &gt;&gt; 1,4</t>
  </si>
  <si>
    <t>HONDA &gt;&gt; 31200PE1673 | HONDA &gt;&gt; 31200P03902 | HONDA &gt;&gt; 31200PE1671 | HONDA &gt;&gt; 31200PE1672 | HONDA &gt;&gt; 31200PM3J03 | HONDA &gt;&gt; 31200P71901 | HONDA &gt;&gt; 31200PE1674 | HONDA &gt;&gt; 31200PG6911 | HONDA &gt;&gt; 31200P03901 | HONDA &gt;&gt; 31200PM3J02 | HONDA &gt;&gt; 31200PK2006 | HONDA &gt;&gt; 31200PG6916 | HONDA &gt;&gt; 31200PG6306 | HONDA &gt;&gt; 31200PG6819 | HERTH+BUSS JAKOPARTS &gt;&gt; J5214016 | HERTH+BUSS JAKOPARTS &gt;&gt; J5214010 | HERTH+BUSS JAKOPARTS &gt;&gt; J5214013 | JAPANPARTS &gt;&gt; MTH194 | JAPANPARTS &gt;&gt; MTH175 | JAPANPARTS &gt;&gt; MTH182 | JAPANPARTS &gt;&gt; MTH164 | ASHIKA &gt;&gt; 003H182 | ASHIKA &gt;&gt; 003H171 | ASHIKA &gt;&gt; 003H175 | ASHIKA &gt;&gt; 003H194 | ASHIKA &gt;&gt; 003H164 | BLUE PRINT &gt;&gt; ADH21229 | BLUE PRINT &gt;&gt; ADH21221 | BLUE PRINT &gt;&gt; ADH21220 | NPS &gt;&gt; H521A18 | NPS &gt;&gt; H521A15 | JAPKO &gt;&gt; 3H194 | JAPKO &gt;&gt; 3H182 | JAPKO &gt;&gt; 3H175 | JAPKO &gt;&gt; 3H164</t>
  </si>
  <si>
    <t>Voltage, V &gt;&gt; 12 | Rated Power, W &gt;&gt; 1,4 | Teeth Quant.,  &gt;&gt; 9 | Quantity required,  &gt;&gt; 1 | Starter Output, kW &gt;&gt; 1,4</t>
  </si>
  <si>
    <t>HONDA &gt;&gt; 003H164ASHIKA | HONDA &gt;&gt; 0986019051BOSCH | HONDA &gt;&gt; 003H182ASHIKA | HONDA &gt;&gt; 31200PE1671 | HONDA &gt;&gt; 31200PE1672 | HONDA &gt;&gt; 31200PE1673 | HONDA &gt;&gt; 31200PE1671672 | HONDA &gt;&gt; 31200PE0665 | HONDA &gt;&gt; 31200PE09010 | HONDA &gt;&gt; 31200PE0902 | HONDA &gt;&gt; 31200PE0901 | HONDA &gt;&gt; 31200P30902 | HONDA &gt;&gt; 31200PE0661 | HONDA &gt;&gt; 31200PE0663 | HONDA &gt;&gt; 31200PE0664 | HONDA &gt;&gt; 31200PE06614 | HONDA &gt;&gt; 455578VALEO | HONDA &gt;&gt; 31200PE0013 | HONDA &gt;&gt; 31200PE0015 | HONDA &gt;&gt; 31200P71901 | HONDA &gt;&gt; 455587VALEO | HONDA &gt;&gt; 1200SPIDAN | HONDA &gt;&gt; 31200PM5LO1 | HONDA &gt;&gt; 0986015721BOSCH | HONDA &gt;&gt; 31200P03901 | HONDA &gt;&gt; 31200P03902 | HONDA &gt;&gt; 4505SPIDAN | HONDA &gt;&gt; 31200P010031 | HONDA &gt;&gt; SM30207 | HONDA &gt;&gt; 0986014061BOSCH | HONDA &gt;&gt; SM30212N | HONDA &gt;&gt; SM40213 | HONDA &gt;&gt; 31200PM5LO3 | HONDA &gt;&gt; SM30216 | HONDA &gt;&gt; SM30216N | HONDA &gt;&gt; 31200PE1674 | HONDA &gt;&gt; 003H175ASHIKA | HONDA &gt;&gt; 0986014051BOSCH | HONDA &gt;&gt; 31200PM3J02 | HONDA &gt;&gt; 31200PM3J03 | HONDA &gt;&gt; MTH182JAPANPARTS | HONDA &gt;&gt; 31200PM30032 | HONDA &gt;&gt; 31200PM3005 | HONDA &gt;&gt; MTH175JAPANPARTS | HONDA &gt;&gt; 31200PG6915 | HONDA &gt;&gt; 1294SPIDAN | HONDA &gt;&gt; 31200PM3003 | HONDA &gt;&gt; MTH164JAPANPARTS | HONDA &gt;&gt; 31200PK2006 | HONDA &gt;&gt; 31200PG6916 | HONDA &gt;&gt; 31200PEO661 | HONDA &gt;&gt; 31200PG6819 | HONDA &gt;&gt; 31200PG6912 | HONDA &gt;&gt; 31200PG6914 | HONDA &gt;&gt; J5214016HBJAKOPA | HONDA &gt;&gt; J5214013HBJAKOPA | HONDA &gt;&gt; 31200PG6911 | HONDA &gt;&gt; J5214010HBJAKOPA | HONDA &gt;&gt; 31200PEO663 | HONDA &gt;&gt; 31200PG6306 | SPIDAN &gt;&gt; 1200 | SPIDAN &gt;&gt; 4179 | SPIDAN &gt;&gt; 1294 | HELLA &gt;&gt; 8EA726416001 | HELLA &gt;&gt; 8EA730233001 | HELLA &gt;&gt; 8EA726408001 | VALEO &gt;&gt; 458510 | VALEO &gt;&gt; 455588 | VALEO &gt;&gt; 455578 | BOSCH &gt;&gt; 0986019051 | BOSCH &gt;&gt; 0986014061 | BOSCH &gt;&gt; 0986014051 | HERTH+BUSS JAKOPARTS &gt;&gt; J5214024 | HERTH+BUSS JAKOPARTS &gt;&gt; J5214020 | HERTH+BUSS JAKOPARTS &gt;&gt; J5214016 | HERTH+BUSS JAKOPARTS &gt;&gt; J5214013 | HERTH+BUSS JAKOPARTS &gt;&gt; J5214010 | HERTH+BUSS JAKOPARTS &gt;&gt; J5214006 | QUINTON HAZELL &gt;&gt; QRS1771 | QUINTON HAZELL &gt;&gt; QRS1645 | DENSO &gt;&gt; DSN997 | BORG &amp; BECK &gt;&gt; BST2329 | FRIESEN &gt;&gt; 8055545 | FRIESEN &gt;&gt; 8052409 | FRIESEN &gt;&gt; 8052410 | FRIESEN &gt;&gt; 8052406 | FARCOM &gt;&gt; 103230 | FARCOM &gt;&gt; 103229 | MAGNETI MARELLI &gt;&gt; 944280524100 | MAGNETI MARELLI &gt;&gt; 944280524200 | MAGNETI MARELLI &gt;&gt; 943253207010 | MAGNETI MARELLI &gt;&gt; 944280524060 | MAGNETI MARELLI &gt;&gt; 943253202010 | MAGNETI MARELLI &gt;&gt; 943241003010 | UBD &gt;&gt; 11530 | UBD &gt;&gt; 11358 | UBD &gt;&gt; 11200 | LETRIKA &gt;&gt; ISJ0008 | TRISCAN &gt;&gt; 22322004092 | DELCO REMY &gt;&gt; DRS4061 | DELCO REMY &gt;&gt; DRS4051 | DELCO REMY &gt;&gt; DRS3086 | DELTA &gt;&gt; A14050 | JAPANPARTS &gt;&gt; MTH194 | JAPANPARTS &gt;&gt; MTH182 | JAPANPARTS &gt;&gt; MTH180 | JAPANPARTS &gt;&gt; MTH177 | JAPANPARTS &gt;&gt; MTH175 | JAPANPARTS &gt;&gt; MTH164 | JAPANPARTS &gt;&gt; MTH156 | CV PSH &gt;&gt; 120510092 | CV PSH &gt;&gt; 120509092 | CV PSH &gt;&gt; 120504092 | PRESTOLITE ELECTRIC &gt;&gt; 66925388 | ELSTOCK &gt;&gt; 251232 | ELSTOCK &gt;&gt; 251205 | ELSTOCK &gt;&gt; 251117 | ASHIKA &gt;&gt; 003H194 | ASHIKA &gt;&gt; 003H175 | ASHIKA &gt;&gt; 003H182 | ASHIKA &gt;&gt; 003H164 | ASHIKA &gt;&gt; 003H171 | ASHIKA &gt;&gt; 003H180 | ASHIKA &gt;&gt; 003H177 | ASHIKA &gt;&gt; 003H197 | ASHIKA &gt;&gt; 003H156 | NIPPARTS &gt;&gt; J5214020 | NIPPARTS &gt;&gt; J5214010 | JP GROUP &gt;&gt; 3490300109 | KAGER &gt;&gt; 720386 | EUROTEC &gt;&gt; 11040044 | BLUE PRINT &gt;&gt; ADH21229 | BLUE PRINT &gt;&gt; ADH21221 | BLUE PRINT &gt;&gt; ADH21220 | BLUE PRINT &gt;&gt; ADH21213 | ATL Autotechnik &gt;&gt; A14060 | ATL Autotechnik &gt;&gt; A14050 | HC-PARTS &gt;&gt; JS645 | HC-PARTS &gt;&gt; JS319 | NPS &gt;&gt; H521A30 | NPS &gt;&gt; H521A25 | NPS &gt;&gt; H521A20 | NPS &gt;&gt; H521A18 | NPS &gt;&gt; H521A15 | NPS &gt;&gt; H521A06 | ASHUKI &gt;&gt; 15630104 | DRI &gt;&gt; 322039092 | DRI &gt;&gt; 322009092 | DRI &gt;&gt; 322004092 | ALANKO &gt;&gt; 441315 | ALANKO &gt;&gt; 440077 | JAPKO &gt;&gt; 3H194 | JAPKO &gt;&gt; 3H182 | JAPKO &gt;&gt; 3H180 | JAPKO &gt;&gt; 3H177 | JAPKO &gt;&gt; 3H164 | JAPKO &gt;&gt; 3H156 | LAUBER &gt;&gt; 220645 | LAUBER &gt;&gt; 220319</t>
  </si>
  <si>
    <t>Alternator</t>
  </si>
  <si>
    <t>Voltage, V &gt;&gt; 12 | Alternator Charge Current, A &gt;&gt; 55 | Number of grooves,  &gt;&gt; 3</t>
  </si>
  <si>
    <t>HONDA &gt;&gt; 31100PE0013 | HONDA &gt;&gt; 31100PD1024 | HONDA &gt;&gt; 31100PE0003 | HONDA &gt;&gt; 31100PE7751 | HONDA &gt;&gt; 31100PE763 | HONDA &gt;&gt; 31100PE3762 | HONDA &gt;&gt; 31100PE3763 | HONDA &gt;&gt; 31100PE7752 | HONDA &gt;&gt; 31100PD0003 | HONDA &gt;&gt; 31100PE3761 | HONDA &gt;&gt; 31100PE0033 | HONDA &gt;&gt; 31300PE7752 | HONDA &gt;&gt; 31300PE7751 | HONDA &gt;&gt; 31300PE3751 | HONDA &gt;&gt; 31100PE0023 | HONDA &gt;&gt; 31300PE3753 | HONDA &gt;&gt; 31300PE3752 | HERTH+BUSS JAKOPARTS &gt;&gt; J5114009 | JAPANPARTS &gt;&gt; ALH358 | ASHIKA &gt;&gt; 002H403 | ASHIKA &gt;&gt; 002H358 | BLUE PRINT &gt;&gt; ADH21111 | NPS &gt;&gt; H511A09 | JAPKO &gt;&gt; 2H358</t>
  </si>
  <si>
    <t>Voltage, V &gt;&gt; 12 | Alternator Charge Current, A &gt;&gt; 60 | Number of grooves,  &gt;&gt; 3</t>
  </si>
  <si>
    <t>HONDA &gt;&gt; 31100PM4003 | HONDA &gt;&gt; 31100PC0923 | HONDA &gt;&gt; 31100PM4Q02 | HONDA &gt;&gt; 31100PP2E02 | HERTH+BUSS JAKOPARTS &gt;&gt; J5114017 | JAPANPARTS &gt;&gt; ALH364 | JAPANPARTS &gt;&gt; ALH359 | ASHIKA &gt;&gt; 002H364 | ASHIKA &gt;&gt; 002H359 | BLUE PRINT &gt;&gt; ADH21121 | BLUE PRINT &gt;&gt; ADH21112 | NPS &gt;&gt; H511A28 | JAPKO &gt;&gt; 2H364 | JAPKO &gt;&gt; 2H359</t>
  </si>
  <si>
    <t>Voltage, V &gt;&gt; 12 | Rated Current, A &gt;&gt; 55 | Alternator Charge Current, A &gt;&gt; 55 | Weight, kg &gt;&gt; 4,21 | Quantity required,  &gt;&gt; 1 | Number of grooves,  &gt;&gt; 3</t>
  </si>
  <si>
    <t>HONDA &gt;&gt; 002H358ASHIKA | HONDA &gt;&gt; ALH358JAPANPARTS | HONDA &gt;&gt; 31100PDOOO3 | HONDA &gt;&gt; 31100PE0761 | HONDA &gt;&gt; 436515VALEO | HONDA &gt;&gt; 3275SPIDAN | HONDA &gt;&gt; 31100PE0003 | HONDA &gt;&gt; 31100PE0013 | HONDA &gt;&gt; 31100PE0033 | HONDA &gt;&gt; J5114009HBJAKOPAR | HONDA &gt;&gt; J5114009HBJAKOPA | HELLA &gt;&gt; 5DR004246511 | HELLA &gt;&gt; 8EL726268001 | HELLA &gt;&gt; 5DR004246911 | BERU &gt;&gt; 0190005069 | BERU &gt;&gt; GER069 | BERU &gt;&gt; GER072 | VALEO &gt;&gt; 436515 | BOSCH &gt;&gt; 0986UR0079 | BOSCH &gt;&gt; 0986035111 | HERTH+BUSS JAKOPARTS &gt;&gt; J5114009 | FRIESEN &gt;&gt; 9051409 | FARCOM &gt;&gt; 118268 | MAGNETI MARELLI &gt;&gt; 943356939010 | UBD &gt;&gt; 13275 | TRISCAN &gt;&gt; 20222110552 | DELCO REMY &gt;&gt; DRA3023 | DELTA &gt;&gt; L35110 | JAPANPARTS &gt;&gt; ALH358 | CV PSH &gt;&gt; 125502055 | ELSTOCK &gt;&gt; 280904 | ASHIKA &gt;&gt; 002H358 | NIPPARTS &gt;&gt; J5114009 | EUROTEC &gt;&gt; 12060059 | BLUE PRINT &gt;&gt; ADH21111 | ATL Autotechnik &gt;&gt; L35110 | NPS &gt;&gt; H511A09 | ASHUKI &gt;&gt; 15339004 | DRI &gt;&gt; 222110552 | JAPKO &gt;&gt; 2H358 | LAUBER &gt;&gt; 110113</t>
  </si>
  <si>
    <t>GENERAL RICAMBI</t>
  </si>
  <si>
    <t>Joint Kit, drive shaft</t>
  </si>
  <si>
    <t>Joint Kit</t>
  </si>
  <si>
    <t>Final Drive</t>
  </si>
  <si>
    <t>Drive Shaft</t>
  </si>
  <si>
    <t>CAR</t>
  </si>
  <si>
    <t>Fitting Position,  &gt;&gt; Wheel Side | for Art.No.,  &gt;&gt; GHO2800K | Ext. Teeth, wheel side,  &gt;&gt; 26 | Int. teeth. wheel side,  &gt;&gt; 32 | Seal diam., mm &gt;&gt; 49 | Outer Diameter, mm &gt;&gt; 87 | Specification,  &gt;&gt; CIRCLIP POS : MIDDLE</t>
  </si>
  <si>
    <t>HONDA &gt;&gt; 44305SA5622 | HONDA &gt;&gt; 44305SE0922 | HONDA &gt;&gt; 44305SE0923 | HONDA &gt;&gt; 44305SE0J20 | HONDA &gt;&gt; 44306SE0J21 | HONDA &gt;&gt; 44306SE0J20 | HONDA &gt;&gt; 44305SE0G24 | HONDA &gt;&gt; 44306SE0G23 | HONDA &gt;&gt; 44306SE0G21 | HONDA &gt;&gt; 44305SE0G22 | HONDA &gt;&gt; 44305SE0G23 | HONDA &gt;&gt; 44306SE0G20 | HONDA &gt;&gt; 44306SE0G12 | HONDA &gt;&gt; 44306SE0923 | HONDA &gt;&gt; 44306SE0G10 | HONDA &gt;&gt; 44305SE0924 | HONDA &gt;&gt; 44305SE0912 | HONDA &gt;&gt; 44305SE0G21 | HONDA &gt;&gt; 44306SE0921 | HONDA &gt;&gt; 44306SE0920 | HONDA &gt;&gt; 44305SE0G12 | HONDA &gt;&gt; 44306SE0911 | HONDA &gt;&gt; 44306SE0910 | HONDA &gt;&gt; 44305SE0J21 | HONDA &gt;&gt; 44305SE0G11 | HONDA &gt;&gt; 44306SA5611 | HONDA &gt;&gt; 44305SH3J10 | HONDA &gt;&gt; 44306SE0J22 | HONDA &gt;&gt; 44305SE0J22 | HONDA &gt;&gt; 44306SE0J23 | LOBRO &gt;&gt; 302094 | METELLI &gt;&gt; 151045 | GLO &gt;&gt; 3581K | LPR &gt;&gt; KHO280 | INTERBRAKE &gt;&gt; G192800K | CIFAM &gt;&gt; 607045</t>
  </si>
  <si>
    <t>DA SILVA</t>
  </si>
  <si>
    <t>Fitting Position,  &gt;&gt; Wheel Side | Ext. Teeth, wheel side,  &gt;&gt; 26 | Int. teeth. wheel side,  &gt;&gt; 32 |  &gt;&gt; for vehicles without ABS</t>
  </si>
  <si>
    <t>Technical Information Number &gt;&gt; C957E</t>
  </si>
  <si>
    <t>HONDA &gt;&gt; 44305SE0913 | HONDA &gt;&gt; 44305SE0920 | HONDA &gt;&gt; 44305SE0J20 | HONDA &gt;&gt; 44305SE0G25 | HONDA &gt;&gt; 44305SE0G23 | HONDA &gt;&gt; 44305SE0G24 | HONDA &gt;&gt; 44306SE0J25 | HONDA &gt;&gt; 44306SE0J24 | HONDA &gt;&gt; 44306SE0J22 | HONDA &gt;&gt; 44306SE0J23 | HONDA &gt;&gt; 44014SE0930 | HONDA &gt;&gt; 44305SE0912 | HONDA &gt;&gt; 44305SE0G22 | HONDA &gt;&gt; 44306SE0J21 | HONDA &gt;&gt; 44306SE0J20 | HONDA &gt;&gt; 44305SE0G21 | HONDA &gt;&gt; 44306SE0G24 | HONDA &gt;&gt; 44306SE0G23 | HONDA &gt;&gt; 44305SE0G13 | HONDA &gt;&gt; 44305SE0G20 | HONDA &gt;&gt; 44306SE0G22 | HONDA &gt;&gt; 44306SE0G21 | HONDA &gt;&gt; 44306SE0G13 | HONDA &gt;&gt; 44306SE0G20 | HONDA &gt;&gt; 44305SE0925 | HONDA &gt;&gt; 4306SH3J00 | HONDA &gt;&gt; 44305SE0G12 | HONDA &gt;&gt; 44306SE0G12 | HONDA &gt;&gt; 44306SE0G11 | HONDA &gt;&gt; 44305SE0G11 | HONDA &gt;&gt; 44306SE0G10 | HONDA &gt;&gt; 44306SE0924 | HONDA &gt;&gt; 44306SE0920 | HONDA &gt;&gt; 44305SE0G10 | HONDA &gt;&gt; 44306SE0923 | HONDA &gt;&gt; 44306SE0922 | HONDA &gt;&gt; 44306SE0921 | HONDA &gt;&gt; 44305SE0921 | HONDA &gt;&gt; 44305SE0923 | HONDA &gt;&gt; 44305SE0924 | HONDA &gt;&gt; 44306SE0913 | HONDA &gt;&gt; 44306SE0912 | HONDA &gt;&gt; 44306SE0910 | HONDA &gt;&gt; 44306SE0911 | HONDA &gt;&gt; 44305SE0J21 | HONDA &gt;&gt; 44305SE0922 | HONDA &gt;&gt; 44305SE7E01 | HONDA &gt;&gt; 44305SE0J23 | HONDA &gt;&gt; 44305SE0J22 | SPIDAN &gt;&gt; 21388 | LOBRO &gt;&gt; 300998 | LOBRO &gt;&gt; 302094 | LOBRO &gt;&gt; 302088 | LOBRO &gt;&gt; 302087 | METELLI &gt;&gt; 151101 | METELLI &gt;&gt; 151045</t>
  </si>
  <si>
    <t>Technical Information Number &gt;&gt; D17B5</t>
  </si>
  <si>
    <t>ODM-MULTIPARTS</t>
  </si>
  <si>
    <t>Ext. Teeth, wheel side,  &gt;&gt; 26 | Seal diam., mm &gt;&gt; 49 | Int. teeth. wheel side,  &gt;&gt; 32 |  &gt;&gt; with groove in internal component</t>
  </si>
  <si>
    <t>Braking / Drive Dynamics &gt;&gt; for vehicles without ABS | Fitting Position &gt;&gt; Wheel Side | Fitting Position &gt;&gt; Front Axle Left | Fitting Position &gt;&gt; Front Axle Right</t>
  </si>
  <si>
    <t>HONDA &gt;&gt; 44014SE0930 | HONDA &gt;&gt; 44306SB0010 | HONDA &gt;&gt; 44306SB0040 | HONDA &gt;&gt; 44306SA5970 | HONDA &gt;&gt; 44306SA5971 | SPIDAN &gt;&gt; 21388 | SKF &gt;&gt; VKJA5520 | LOBRO &gt;&gt; 302094 | LOBRO &gt;&gt; 300998 | LOBRO &gt;&gt; 300992 | METELLI &gt;&gt; 151101 | METELLI &gt;&gt; 151113 | EAI &gt;&gt; CV22105 | EAI &gt;&gt; CV22103 | URW &gt;&gt; MS812C2 | GLO &gt;&gt; 3581K | NKN.LTD. &gt;&gt; ND61152H | NIPPARTS &gt;&gt; J2824012 | NIPPARTS &gt;&gt; J2824011 | NIPPARTS &gt;&gt; J2824007 | INTERPARTS &gt;&gt; OJ0810 | CIFAM &gt;&gt; 607113 | CIFAM &gt;&gt; 607101 | CDX &gt;&gt; 574 | BLUE PRINT &gt;&gt; ADH28907 | GSP &gt;&gt; 823025 | GSP &gt;&gt; 801001 | VEMA &gt;&gt; 18271 | amk &gt;&gt; TDL8096 | SHAFTEC &gt;&gt; JCV916N</t>
  </si>
  <si>
    <t>Ext. Teeth, wheel side,  &gt;&gt; 26 | Seal diam., mm &gt;&gt; 49 | Int. teeth. wheel side,  &gt;&gt; 32 | Numb.of teeth,ABS ring,  &gt;&gt; 50 |  &gt;&gt; with groove in internal component</t>
  </si>
  <si>
    <t>Braking / Drive Dynamics &gt;&gt; for vehicles with ABS | Fitting Position &gt;&gt; Wheel Side | Fitting Position &gt;&gt; Front Axle Left | Fitting Position &gt;&gt; Front Axle Right</t>
  </si>
  <si>
    <t>HONDA &gt;&gt; 44305SA5622 | HONDA &gt;&gt; 44305SEO923 | HONDA &gt;&gt; 44305SH3G21 | HONDA &gt;&gt; 44305SH3G71 | HONDA &gt;&gt; 44305SA5971 | HONDA &gt;&gt; 44306SH3G71 | HONDA &gt;&gt; 44306SE0G64 | SPIDAN &gt;&gt; 22351 | LOBRO &gt;&gt; 301945 | LOBRO &gt;&gt; 300844 | EAI &gt;&gt; CV22105A2 | H.D.K. &gt;&gt; HO40 | NKN.LTD. &gt;&gt; NS62462H | NKN.LTD. &gt;&gt; NS62482H | NKN.LTD. &gt;&gt; NS62452H | NIPPARTS &gt;&gt; J2824124 | INTERPARTS &gt;&gt; OJ0850 | CDX &gt;&gt; 57450 | BLUE PRINT &gt;&gt; ADH28931 | BLUE PRINT &gt;&gt; ADH28930B | BLUE PRINT &gt;&gt; ADH28930 | BLUE PRINT &gt;&gt; ADH28931B | GSP &gt;&gt; 823071 | amk &gt;&gt; TDL9396 | SHAFTEC &gt;&gt; JCV911AN</t>
  </si>
  <si>
    <t>VALEO</t>
  </si>
  <si>
    <t>Oil Filter</t>
  </si>
  <si>
    <t>Thread Size,  &gt;&gt; M 20x1,5 | Outer Diameter, mm &gt;&gt; 69,5 | Inner Diameter 1, mm &gt;&gt; 63 | Inner Diameter 2, mm &gt;&gt; 55 | Height, mm &gt;&gt; 85 | Opening Pressure Bypass Valve, bar &gt;&gt; 1,5 |  &gt;&gt; Screw-on Filter</t>
  </si>
  <si>
    <t>FIAT &gt;&gt; 46544820 | FIAT &gt;&gt; 46751179 | FORD &gt;&gt; 5016958 | FORD &gt;&gt; 3521840 | FORD &gt;&gt; 3891893 | HONDA &gt;&gt; 15400PR3003 | HONDA &gt;&gt; 15400PLC004 | MAZDA &gt;&gt; PEY014302 | MAZDA &gt;&gt; PEYO14302 | MAZDA &gt;&gt; JEY014302 | MAZDA &gt;&gt; 0FE3R14302 | MAZDA &gt;&gt; FEY0143029A | MAZDA &gt;&gt; FEYO143029A | MAZDA &gt;&gt; FEYO14302 | MAZDA &gt;&gt; F2Y014302A | MAZDA &gt;&gt; F802238029A | MAZDA &gt;&gt; FE3R14302 | MAZDA &gt;&gt; F80223802 | MAZDA &gt;&gt; JEY014302A | MITSUBISHI &gt;&gt; MZ690070 | MITSUBISHI &gt;&gt; MD360935 | MITSUBISHI &gt;&gt; MD135737 | NISSAN &gt;&gt; 152087B000 | NISSAN &gt;&gt; 1520831U01 | NISSAN &gt;&gt; 1520831U00 | NISSAN &gt;&gt; 1520831000 | VOLVO &gt;&gt; 30866266 | HYUNDAI &gt;&gt; 2630035A00 | KIA &gt;&gt; 0FE3R14302 | KIA &gt;&gt; FE3R14302 | PROTON &gt;&gt; PW510577 | AMC &gt;&gt; MO526 | MANN-FILTER &gt;&gt; W6102 | MANN-FILTER &gt;&gt; W6103 | MANN-FILTER &gt;&gt; W671 | MANN-FILTER &gt;&gt; LI812283 | LUCAS ELECTRICAL &gt;&gt; EDL156 | BOSCH &gt;&gt; 0986AF1001 | BOSCH &gt;&gt; 0986452041 | BOSCH &gt;&gt; 451103364 | BOSCH &gt;&gt; P2041 | BOSCH &gt;&gt; 986AF1056 | BOSCH &gt;&gt; 986AF1001 | BOSCH &gt;&gt; 986452041 | BOSCH &gt;&gt; 986452555 | BOSCH &gt;&gt; F026407077 | BOSCH &gt;&gt; 9000022192 | BOSCH &gt;&gt; 986452036 | BOSCH &gt;&gt; 0986452555 | BOSCH &gt;&gt; 0986AF1056 | BOSCH &gt;&gt; 72182 | PURFLUX &gt;&gt; LS910 | PURFLUX &gt;&gt; LS490 | PURFLUX &gt;&gt; LS490A | PURFLUX &gt;&gt; LS301 | PURFLUX &gt;&gt; LS489A | PURFLUX &gt;&gt; LS225 | PURFLUX &gt;&gt; LS287 | PURFLUX &gt;&gt; LS207 | MAHLE FILTER &gt;&gt; OC617 | MAHLE FILTER &gt;&gt; OC986 | MAHLE FILTER &gt;&gt; OC196 | MAHLE FILTER &gt;&gt; OC579 | MAHLE FILTER &gt;&gt; OC195 | MAHLE FILTER &gt;&gt; OC194 | MAHLE FILTER &gt;&gt; OC153 | CHAMPION &gt;&gt; PH2868 | CHAMPION &gt;&gt; F208 | CHAMPION &gt;&gt; LS107 | CHAMPION &gt;&gt; F129 | CHAMPION &gt;&gt; F128 | CHAMPION &gt;&gt; F126 | CHAMPION &gt;&gt; F122 | CHAMPION &gt;&gt; F116 | PUROLATOR &gt;&gt; L14620 | HERTH+BUSS JAKOPARTS &gt;&gt; J1313007 | HERTH+BUSS JAKOPARTS &gt;&gt; J1313015 | QUINTON HAZELL &gt;&gt; QOF5361 | FRAM &gt;&gt; PH5317 | FRAM &gt;&gt; PH5949 | FRAM &gt;&gt; PH7317 | FRAM &gt;&gt; PH5343 | FRAM &gt;&gt; PH3593A | FRAM &gt;&gt; PH4913 | FRAM &gt;&gt; PH4998 | FRAM &gt;&gt; PH225 | CHAMP &gt;&gt; PH2868 | CHAMP &gt;&gt; LS107 | HENGST FILTER &gt;&gt; H97W05 | HENGST FILTER &gt;&gt; H97W08 | HENGST FILTER &gt;&gt; H13W03 | HENGST FILTER &gt;&gt; H97W02 | DELPHI &gt;&gt; FX0067 | DELPHI &gt;&gt; FX0078 | DELPHI &gt;&gt; FX0174 | TECNOCAR &gt;&gt; R94 | TECNOCAR &gt;&gt; R96 | TECNOCAR &gt;&gt; R198 | TECNOCAR &gt;&gt; R205 | SogefiPro &gt;&gt; FT5405 | SogefiPro &gt;&gt; FT5368 | MAPCO &gt;&gt; 61562 | SOFIMA &gt;&gt; S4030R | SOFIMA &gt;&gt; S6900R | SOFIMA &gt;&gt; S3261R | SOFIMA &gt;&gt; S3265R | AMC Filter &gt;&gt; MO526 | P.B.R. &gt;&gt; BC1284 | CLEAN FILTERS &gt;&gt; DO925A | CLEAN FILTERS &gt;&gt; DO925 | CLEAN FILTERS &gt;&gt; DO912 | CLEAN FILTERS &gt;&gt; DO853A | CLEAN FILTERS &gt;&gt; DO853 | COOPERS &gt;&gt; Z916 | COOPERS &gt;&gt; Z1344 | COOPERS &gt;&gt; Z1142 | COOPERS &gt;&gt; Z1332 | COOPERS &gt;&gt; Z1128 | COOPERS &gt;&gt; Z1129 | CROSLAND &gt;&gt; 2112 | CROSLAND &gt;&gt; 2095 | CROSLAND &gt;&gt; 2025 | TEHO &gt;&gt; 4311 | TEHO &gt;&gt; OK311 | WIX FILTERS &gt;&gt; WL7200 | WIX FILTERS &gt;&gt; WL7154 | WIX FILTERS &gt;&gt; WL7164 | WIX FILTERS &gt;&gt; WL7134 | JAPANPARTS &gt;&gt; FO315 | JAPANPARTS &gt;&gt; FO307S | JAPANPARTS &gt;&gt; FO307 | JAPANPARTS &gt;&gt; FO120 | JAPANPARTS &gt;&gt; JFO510 | JAPANPARTS &gt;&gt; JFO410S | JAPANPARTS &gt;&gt; JFO410 | JAPANPARTS &gt;&gt; JFO316 | JAPANPARTS &gt;&gt; JFO315 | JAPANPARTS &gt;&gt; JFO307S | JAPANPARTS &gt;&gt; JFO307 | JAPANPARTS &gt;&gt; JFO198 | JAPANPARTS &gt;&gt; JFO198S | JAPANPARTS &gt;&gt; JFO002 | JAPANPARTS &gt;&gt; JFO002S | ALCO FILTER &gt;&gt; SP959 | ALCO FILTER &gt;&gt; SP1001 | FILTRON &gt;&gt; WL7134 | FILTRON &gt;&gt; OP6323 | FILTRON &gt;&gt; OP598 | FILTRON &gt;&gt; OP597 | FILTRON &gt;&gt; OP575 | UNICO FILTER &gt;&gt; LI812283 | ARMAFILT &gt;&gt; O65861 | GUD FILTERS &gt;&gt; Z222 | VIC &gt;&gt; C414 | VIC &gt;&gt; C413 | UFI &gt;&gt; 2343800 | UFI &gt;&gt; 2326500 | UFI &gt;&gt; 2326000 | FLEETGUARD &gt;&gt; LF3691 | FLEETGUARD &gt;&gt; LF3644 | FLEETGUARD &gt;&gt; LF3537 | DONALDSON &gt;&gt; P502063 | DONALDSON &gt;&gt; P502047 | DONALDSON &gt;&gt; P502057 | DONALDSON &gt;&gt; P502007 | MOTORCRAFT &gt;&gt; EFL9030 | MOTORCRAFT &gt;&gt; EFL822 | MOTORCRAFT &gt;&gt; EFL821 | MOTORCRAFT &gt;&gt; EFL487 | MOTORCRAFT &gt;&gt; EFL383 | MOTORCRAFT &gt;&gt; EFL314 | MOTORCRAFT &gt;&gt; FL822 | MOTORCRAFT &gt;&gt; FL821 | MOTORCRAFT &gt;&gt; EFL9080 | UNIPART &gt;&gt; GFE359 | UNIPART &gt;&gt; GFE327 | UNIPART &gt;&gt; GFE321 | UNIPART &gt;&gt; GFE305 | UNIPART &gt;&gt; GFE233 | MECAFILTER &gt;&gt; ELH4278 | MECAFILTER &gt;&gt; ELH4233 | MECAFILTER &gt;&gt; ELH4168 | ACDelco &gt;&gt; X147 | ACDelco &gt;&gt; X4001E | ACDelco &gt;&gt; X146 | ACDelco &gt;&gt; PF1237 | SCT Germany &gt;&gt; SM103 | ASAS &gt;&gt; SPC413 | MEAT &amp; DORIA &gt;&gt; 15017 | NIPPARTS &gt;&gt; J1313007 | NIPPARTS &gt;&gt; J1313002 | NIPPARTS &gt;&gt; J1311019 | NIPPARTS &gt;&gt; J1310303 | NIPPARTS &gt;&gt; J1310300 | NIPPARTS &gt;&gt; J1315024 | NIPPARTS &gt;&gt; J1314006 | NIPPARTS &gt;&gt; J1313015 | BLUE PRINT &gt;&gt; ADM52105 | DIGOMA &gt;&gt; DGMO131 | DIGOMA &gt;&gt; DGMO109 | ELOFIC &gt;&gt; EXL162 | ELOFIC &gt;&gt; EXL149 | FIL FILTER &gt;&gt; ZP56 | GIF FILTER &gt;&gt; GL590 | LUBERFINER &gt;&gt; PH2903 | LUBERFINER &gt;&gt; PH2868 | COOPERSFIAAM FILTERS &gt;&gt; FT5407 | COOPERSFIAAM FILTERS &gt;&gt; FT5405 | COOPERSFIAAM FILTERS &gt;&gt; FT5216 | COOPERSFIAAM FILTERS &gt;&gt; FT4911 | COOPERSFIAAM FILTERS &gt;&gt; BC1284 | KLARIUS &gt;&gt; L17693 | KLARIUS &gt;&gt; L14620 | KLARIUS &gt;&gt; L14610 | MISFAT &gt;&gt; Z265A | MISFAT &gt;&gt; Z260</t>
  </si>
  <si>
    <t>Filter</t>
  </si>
  <si>
    <t>Lubrication</t>
  </si>
  <si>
    <t>Engine Oil</t>
  </si>
  <si>
    <t>KNECHT</t>
  </si>
  <si>
    <t xml:space="preserve"> &gt;&gt; Screw-on Filter | Inner Diameter 2, mm &gt;&gt; 52,4 | Seal diam., mm &gt;&gt; 62,6 | Housing Diameter, mm &gt;&gt; 65,5 | Height, mm &gt;&gt; 86,5 | Port Thread,  &gt;&gt; M20x1,5 | Recommended Special Tools,  &gt;&gt; OCS 4</t>
  </si>
  <si>
    <t>from construction year &gt;&gt; 11/1987</t>
  </si>
  <si>
    <t>HONDA &gt;&gt; 04154PR3E00 | HONDA &gt;&gt; 15400P0H305 | HONDA &gt;&gt; 15400PC6004 | HONDA &gt;&gt; 15200PH1004 | HONDA &gt;&gt; 15400PH1003 | HONDA &gt;&gt; 15400PT7006 | HONDA &gt;&gt; 15400PT7005 | HONDA &gt;&gt; 15400PH004 | HONDA &gt;&gt; 15400PT7004 | HONDA &gt;&gt; 15400PT1K04 | HONDA &gt;&gt; 15400PR3406 | HONDA &gt;&gt; 15400PC6405 | HONDA &gt;&gt; 15400PT1K02 | HONDA &gt;&gt; 15400PT1K01 | HONDA &gt;&gt; 15400PR3810 | HONDA &gt;&gt; 15400PMET01 | HONDA &gt;&gt; 15400PC6000 | HONDA &gt;&gt; 15400PC6003 | HONDA &gt;&gt; 15400PR3405 | HONDA &gt;&gt; 15400PR3315 | HONDA &gt;&gt; 15400PR3014 | HONDA &gt;&gt; 15400PR3305 | HONDA &gt;&gt; 15400PR3003 | HONDA &gt;&gt; 15400P3RT01 | HONDA &gt;&gt; 15400PR3005 | HONDA &gt;&gt; 15400PR3004 | HONDA &gt;&gt; 15220PH1014 | HONDA &gt;&gt; 15400679013 | HONDA &gt;&gt; 15400MJ0003 | HONDA &gt;&gt; 15400P0H004 | HONDA &gt;&gt; 15400PLMA02 | HONDA &gt;&gt; 15400PLMA01 | HONDA &gt;&gt; 15400PLC003 | HONDA &gt;&gt; 15400PLC004 | HONDA &gt;&gt; 15400PH4K02 | HONDA &gt;&gt; 15400679023 | HONDA &gt;&gt; 15400PK1003 | HONDA &gt;&gt; 15400PH9004 | HONDA &gt;&gt; 15400PH6004 | HONDA &gt;&gt; 15400PH1004 | HONDA &gt;&gt; 15400679003 | HONDA &gt;&gt; 15400679004 | HONDA &gt;&gt; 15400PH3004 | HONDA &gt;&gt; 15400PH3003 | HONDA &gt;&gt; 15400PH1F03 | HONDA &gt;&gt; 15400PH1F04 | HONDA &gt;&gt; 15400RAFT01 | HONDA &gt;&gt; 15400611003 | HONDA &gt;&gt; 15400PH1F02 | HONDA &gt;&gt; 15400PH1F01 | HONDA &gt;&gt; 15400RBAF01 | HONDA &gt;&gt; 15400PH1014 | HONDA &gt;&gt; 15400RTA004 | HONDA &gt;&gt; 15400RTA003 | MANN-FILTER &gt;&gt; W6106 | VALEO &gt;&gt; 586062 | BOSCH &gt;&gt; 0986452036 | BOSCH &gt;&gt; 0986B00023 | BOSCH &gt;&gt; 0986B00015 | BOSCH &gt;&gt; 0451103364 | BOSCH &gt;&gt; 0986452016 | BOSCH &gt;&gt; 0986B00006 | BOSCH &gt;&gt; 0986B00002 | BOSCH &gt;&gt; 0986452008 | BOSCH &gt;&gt; 0986452061 | BOSCH &gt;&gt; 0986452059 | BOSCH &gt;&gt; 0451103316 | BOSCH &gt;&gt; 0986452007 | BOSCH &gt;&gt; 0986452041 | PURFLUX &gt;&gt; LS350 | HERTH+BUSS JAKOPARTS &gt;&gt; J1314018 | HENGST FILTER &gt;&gt; H90W25 | FILTRON &gt;&gt; OP5581 | UFI &gt;&gt; 2326500</t>
  </si>
  <si>
    <t xml:space="preserve"> &gt;&gt; Screw-on Filter | Inner Diameter 2, mm &gt;&gt; 62 | Seal diam., mm &gt;&gt; 72 | Height, mm &gt;&gt; 81 | Housing Diameter, mm &gt;&gt; 93,2 | Port Thread,  &gt;&gt; M22x1,5 | Recommended Special Tools,  &gt;&gt; OCS 2</t>
  </si>
  <si>
    <t>to construction year &gt;&gt; 10/1987</t>
  </si>
  <si>
    <t>FORD &gt;&gt; 5007222 | FORD &gt;&gt; 5010965 | GMC &gt;&gt; 93156201 | HONDA &gt;&gt; 15000689004 | HONDA &gt;&gt; 15400689405 | HONDA &gt;&gt; 15400PA6F01 | HONDA &gt;&gt; 15400PA6506 | HONDA &gt;&gt; 15400689014 | HONDA &gt;&gt; 15400PA6405 | HONDA &gt;&gt; 15400PA6305 | HONDA &gt;&gt; 15400PA6010 | HONDA &gt;&gt; 15400PA6005 | HONDA &gt;&gt; 15400689004 | HONDA &gt;&gt; 15400689003 | HONDA &gt;&gt; 15400PA6004 | HONDA &gt;&gt; 15400PA6003 | MANN-FILTER &gt;&gt; W91414 | MANN-FILTER &gt;&gt; W91798 | MANN-FILTER &gt;&gt; W81581 | BOSCH &gt;&gt; P2015 | BOSCH &gt;&gt; 0986452015 | BOSCH &gt;&gt; 0986452026SB | PURFLUX &gt;&gt; LS718 | CHAMPION &gt;&gt; E101 | PUROLATOR &gt;&gt; PER291 | PUROLATOR &gt;&gt; L10291 | PUROLATOR &gt;&gt; FCO291 | QUINTON HAZELL &gt;&gt; WL7130 | FRAM &gt;&gt; PH3531 | FRAM &gt;&gt; PH2817 | CHAMP &gt;&gt; PH2817 | TECNOCAR &gt;&gt; R428 | SogefiPro &gt;&gt; FT4931 | SOFIMA &gt;&gt; S8240R | AMC Filter &gt;&gt; HO818 | CLEAN FILTERS &gt;&gt; DO340 | BALDWIN &gt;&gt; B156 | COOPERS &gt;&gt; Z155 | CROSLAND &gt;&gt; 369 | TEHO &gt;&gt; OK106 | TEHO &gt;&gt; 4106 | TJ FILTERS &gt;&gt; FB5449 | WIX FILTERS &gt;&gt; 51392 | ALCO FILTER &gt;&gt; SP904 | FILTRON &gt;&gt; OP571 | VIC &gt;&gt; C804 | TOYO TIRES &gt;&gt; TO232 | UFI &gt;&gt; 2318200 | FLEETGUARD &gt;&gt; LF3337 | DONALDSON &gt;&gt; P779214 | MOTORCRAFT &gt;&gt; EFL151 | UNIPART &gt;&gt; GFE238 | UNIPART &gt;&gt; GFE192 | UNIPART &gt;&gt; GFE165 | A.P. &gt;&gt; LK1192 | MONARK &gt;&gt; 30758881 | MECAFILTER &gt;&gt; ELH4181 | MECAFILTER &gt;&gt; ELH4145 | ACDelco &gt;&gt; X84 | ACDelco &gt;&gt; PF963 | PBR &gt;&gt; BC1146 | NIPPARTS &gt;&gt; J1314003 | NIPPARTS &gt;&gt; J1314002 | MGA &gt;&gt; FH1154</t>
  </si>
  <si>
    <t>PURFLUX</t>
  </si>
  <si>
    <t>Outer Diameter, mm &gt;&gt; 66 | Port Thread,  &gt;&gt; M20x1,5 | Height, mm &gt;&gt; 86</t>
  </si>
  <si>
    <t>CHRYSLER &gt;&gt; L532 | FORD &gt;&gt; 3252742 | FORD &gt;&gt; F32Z6731A | FORD &gt;&gt; 5022738 | FORD &gt;&gt; 5027149 | HONDA &gt;&gt; 04154PR3E00 | HONDA &gt;&gt; 15400PC6004 | HONDA &gt;&gt; 15220PH1004 | HONDA &gt;&gt; 15400PH1014 | HONDA &gt;&gt; 15400PH1004 | HONDA &gt;&gt; 15400PH1003 | HONDA &gt;&gt; 15400MJO003 | HONDA &gt;&gt; 15400RBAF010MI | HONDA &gt;&gt; 15400RTA004 | HONDA &gt;&gt; 15401611033 | HONDA &gt;&gt; 15400PC6003 | HONDA &gt;&gt; 15400RTA003 | HONDA &gt;&gt; 15400PR3810 | HONDA &gt;&gt; 15400PC6000 | HONDA &gt;&gt; 15400RBAF01 | HONDA &gt;&gt; 15400RAFT01 | HONDA &gt;&gt; 15400PT1K01 | HONDA &gt;&gt; 15400611013 | HONDA &gt;&gt; 15400679023 | HONDA &gt;&gt; 15400MJ0003 | HONDA &gt;&gt; 15400PR3406 | HONDA &gt;&gt; 15400PR3405 | HONDA &gt;&gt; 15400PR3305 | HONDA &gt;&gt; 15400PR3315 | HONDA &gt;&gt; 15400PLC004 | HONDA &gt;&gt; 15400679004 | HONDA &gt;&gt; 15400PR3014 | HONDA &gt;&gt; 15400PLMA02 | HONDA &gt;&gt; 15400PLMA01 | HONDA &gt;&gt; 15400PLC003 | HONDA &gt;&gt; 15400PK1003 | HONDA &gt;&gt; 15400611003 | HONDA &gt;&gt; 15400PH6004 | HONDA &gt;&gt; 15400579003 | HONDA &gt;&gt; 15400PH9004 | HONDA &gt;&gt; 15220PH1014 | HONDA &gt;&gt; 15400PH1F03 | HONDA &gt;&gt; 1528487211 | HONDA &gt;&gt; 15400PH1F04 | HONDA &gt;&gt; 15400PH1F01 | HONDA &gt;&gt; 15400PH1F02 | IVECO &gt;&gt; J1317003 | IVECO &gt;&gt; J1314018 | IVECO &gt;&gt; J1314012 | IVECO &gt;&gt; J1314013 | IVECO &gt;&gt; J1313002 | MAZDA &gt;&gt; KL0714302A | MAZDA &gt;&gt; JEYO14302 | MAZDA &gt;&gt; 8FG1238029 | MAZDA &gt;&gt; 8FG112802 | MAZDA &gt;&gt; FER14302 | MAZDA &gt;&gt; RFY214302 | MITSUBISHI &gt;&gt; MD325714 | MITSUBISHI &gt;&gt; MD352627 | PEUGEOT &gt;&gt; 1109G5 | RENAULT &gt;&gt; 7711500014 | ROVER &gt;&gt; GFE282 | ROVER &gt;&gt; VOF1014 | SUBARU &gt;&gt; 15208AA160 | SUBARU &gt;&gt; 15208AA130 | SUBARU &gt;&gt; 380872100 | SUBARU &gt;&gt; SU00300311 | TOYOTA &gt;&gt; 1560B87309 | TOYOTA &gt;&gt; 156071280 | VOLVO &gt;&gt; 14523962 | HYUNDAI &gt;&gt; 15400PC6003 | HYUNDAI &gt;&gt; 817323802 | ROVER/AUSTIN &gt;&gt; FH1058 | AC &gt;&gt; PF1051 | AC &gt;&gt; PF867 | AC &gt;&gt; PF967 | AC &gt;&gt; X45 | AC &gt;&gt; X46 | AC &gt;&gt; X4001E | AC &gt;&gt; X4114E | AC &gt;&gt; X156 | AC &gt;&gt; X169 | CASE IH &gt;&gt; VA30A4000103 | HITACHI &gt;&gt; 4294841 | MASSEY FERGUSON &gt;&gt; 1039891 | MASSEY FERGUSON &gt;&gt; 947941 | GENERAL MOTORS &gt;&gt; 944128150 | GENERAL MOTORS &gt;&gt; 94412815 | GENERAL MOTORS &gt;&gt; 91151708 | GENERAL MOTORS &gt;&gt; 90541163 | GENERAL MOTORS &gt;&gt; 90485457 | GENERAL MOTORS &gt;&gt; 90485456 | GENERAL MOTORS &gt;&gt; 8944597000 | GENERAL MOTORS &gt;&gt; 8944128150 | GENERAL MOTORS &gt;&gt; 8943687270 | GENERAL MOTORS &gt;&gt; 8943687200 | GENERAL MOTORS &gt;&gt; 649014 | GENERAL MOTORS &gt;&gt; 649011 | GENERAL MOTORS &gt;&gt; 649010 | GENERAL MOTORS &gt;&gt; 649008 | GENERAL MOTORS &gt;&gt; 5650301 | GENERAL MOTORS &gt;&gt; VOF156 | PROTON &gt;&gt; PW510253 | ASIA MOTORS &gt;&gt; OFE3R14302 | ASIA MOTORS &gt;&gt; K90014300A | HYSTER &gt;&gt; 324692 | KOMATSU &gt;&gt; YM11966035150 | KUBOTA &gt;&gt; 16271329090 | KUBOTA &gt;&gt; 162713290 | KUBOTA &gt;&gt; 1627132090 | KUBOTA &gt;&gt; HH16032093 | YANMAR &gt;&gt; 12445035110 | YANMAR &gt;&gt; 11900535100 | ISEKI &gt;&gt; 565004093650 | MANN-FILTER &gt;&gt; W67 | MANN-FILTER &gt;&gt; W87 | MANN-FILTER &gt;&gt; W81480 | MANN-FILTER &gt;&gt; W6102 | MANN-FILTER &gt;&gt; W6106 | VALEO &gt;&gt; 586062 | BOSCH &gt;&gt; 1986452007 | BOSCH &gt;&gt; 1986452006 | BOSCH &gt;&gt; 1900026000 | BOSCH &gt;&gt; P7077 | BOSCH &gt;&gt; OF110 | BOSCH &gt;&gt; BOF2036 | BOSCH &gt;&gt; BOF1042 | BOSCH &gt;&gt; 986452906 | BOSCH &gt;&gt; 9181474042 | BOSCH &gt;&gt; 9181474026 | BOSCH &gt;&gt; F026407077 | PURFLUX &gt;&gt; LS705 | PURFLUX &gt;&gt; LS350 | MAHLE FILTER &gt;&gt; OC196 | MAHLE FILTER &gt;&gt; OC617 | MAHLE FILTER &gt;&gt; OC152 | MAHLE FILTER &gt;&gt; OC194 | MAHLE FILTER &gt;&gt; OC1177 | MAHLE FILTER &gt;&gt; H0557 | CHAMPION &gt;&gt; F208606 | CHAMPION &gt;&gt; F302 | CHAMPION &gt;&gt; F126606 | CHAMPION &gt;&gt; F129606 | CHAMPION &gt;&gt; F123606 | CHAMPION &gt;&gt; F122606 | CHAMPION &gt;&gt; F119606 | CHAMPION &gt;&gt; F110606 | PUROLATOR &gt;&gt; L27535 | PUROLATOR &gt;&gt; L14459 | PUROLATOR &gt;&gt; L24458 | PUROLATOR &gt;&gt; FCO73 | HERTH+BUSS JAKOPARTS &gt;&gt; N1317009 | HERTH+BUSS JAKOPARTS &gt;&gt; J1315024 | HERTH+BUSS JAKOPARTS &gt;&gt; J131406 | HERTH+BUSS JAKOPARTS &gt;&gt; J131405 | HERTH+BUSS JAKOPARTS &gt;&gt; J1314018 | HERTH+BUSS JAKOPARTS &gt;&gt; J1314013 | HERTH+BUSS JAKOPARTS &gt;&gt; J1314009 | HERTH+BUSS JAKOPARTS &gt;&gt; J131316 | HERTH+BUSS JAKOPARTS &gt;&gt; J1313015 | FRAM &gt;&gt; PH3917 | FRAM &gt;&gt; PH5317 | FRAM &gt;&gt; PH2871 | FRAM &gt;&gt; PH2849 | CHAMP &gt;&gt; PH2867 | CHAMP &gt;&gt; PH2849 | CHAMP &gt;&gt; PH2805 | CHAMP &gt;&gt; PH2808 | CHAMP &gt;&gt; OF418 | CHAMP &gt;&gt; LS108 | CHAMP &gt;&gt; LS104 | CHAMP &gt;&gt; LFP5522 | DENSO &gt;&gt; 124006 | HENGST FILTER &gt;&gt; H97W11 | HENGST FILTER &gt;&gt; H97W05 | HENGST FILTER &gt;&gt; H90W25 | HENGST FILTER &gt;&gt; H313W | HENGST FILTER &gt;&gt; H20W04 | DELPHI &gt;&gt; F694 | DELPHI &gt;&gt; F6477 | TECNOCAR &gt;&gt; R511 | TECNOCAR &gt;&gt; R198 | SogefiPro &gt;&gt; FT5407 | SogefiPro &gt;&gt; FT4908 | SogefiPro &gt;&gt; FT408EC | DOYEN &gt;&gt; DOF4900 | DOYEN &gt;&gt; DOF3402 | SOFIMA &gt;&gt; S3243R | SOFIMA &gt;&gt; S3485R | SOFIMA &gt;&gt; S3479R | AMC Filter &gt;&gt; IO3324 | AMC Filter &gt;&gt; HO824 | AMC Filter &gt;&gt; HO823 | P.B.R. &gt;&gt; BC1377 | P.B.R. &gt;&gt; BC1088 | CLEAN FILTERS &gt;&gt; DO1823 | CLEAN FILTERS &gt;&gt; FV4610 | CLEAN FILTERS &gt;&gt; FO9226 | ALCO (ZYPERN) &gt;&gt; SP937 | ALCO (ZYPERN) &gt;&gt; SP959 | ALCO (ZYPERN) &gt;&gt; SP873 | BALDWIN &gt;&gt; B1402 | COOPERS &gt;&gt; Z1129 | COOPERS &gt;&gt; Z1142 | COOPERS &gt;&gt; Z1128 | CROSLAND &gt;&gt; 636 | CROSLAND &gt;&gt; 2162 | CROSLAND &gt;&gt; 2095 | CROSLAND &gt;&gt; 2071 | TEHO &gt;&gt; 4311 | TEHO &gt;&gt; 4060 | TEHO &gt;&gt; 4025 | WIX FILTERS &gt;&gt; AP628 | WIX FILTERS &gt;&gt; 51356 | WIX FILTERS &gt;&gt; WL7192 | WIX FILTERS &gt;&gt; WL7134 | WOODGATE &gt;&gt; WGL3644 | WOODGATE &gt;&gt; WGL716 | WOODGATE &gt;&gt; WGL3369 | JAPANPARTS &gt;&gt; JFO703 | JAPANPARTS &gt;&gt; JFO508 | JAPANPARTS &gt;&gt; JFO498 | JAPANPARTS &gt;&gt; JFO429 | JAPANPARTS &gt;&gt; JFO410S | JAPANPARTS &gt;&gt; JFO409 | JAPANPARTS &gt;&gt; JFO404 | JAPANPARTS &gt;&gt; JFO316S | JAPANPARTS &gt;&gt; JFO305 | JAPANPARTS &gt;&gt; JFO303 | JAPANPARTS &gt;&gt; JFO002 | JAPANPARTS &gt;&gt; JFO302 | JAPANPARTS &gt;&gt; FO498S | JAPANPARTS &gt;&gt; FO410S | JAPANPARTS &gt;&gt; FO316S | FILTRON &gt;&gt; OP623 | FILTRON &gt;&gt; OP558 | FILTRON &gt;&gt; OP575 | FILTRON &gt;&gt; OP557 | UNICO FILTER &gt;&gt; LI89280 | VIC &gt;&gt; C407 | VIC &gt;&gt; C406N | VIC &gt;&gt; C403 | VIC &gt;&gt; C364 | VIC &gt;&gt; C304 | VIC &gt;&gt; C302 | UFI &gt;&gt; 2326500 | UFI &gt;&gt; 2324300 | FLEETGUARD &gt;&gt; LF3403 | DONALDSON &gt;&gt; P779164 | DONALDSON &gt;&gt; P550162 | DONALDSON &gt;&gt; P502057 | DONALDSON &gt;&gt; P550158 | DONALDSON &gt;&gt; P502009 | DONALDSON &gt;&gt; P502051 | DONALDSON &gt;&gt; P502007 | MOTORCRAFT &gt;&gt; FL295DP | MOTORCRAFT &gt;&gt; FL295 | MOTORCRAFT &gt;&gt; EFL383 | MOTORCRAFT &gt;&gt; EFL364 | MOTORCRAFT &gt;&gt; EFL361 | MOTORCRAFT &gt;&gt; EFL320 | MOTORCRAFT &gt;&gt; EFL319 | MOTORCRAFT &gt;&gt; EFL314 | MOTORCRAFT &gt;&gt; EFL296 | MOTORCRAFT &gt;&gt; EFL129 | MOTORCRAFT &gt;&gt; EFL091 | UNIPART &gt;&gt; GFE37 | UNIPART &gt;&gt; GFE305 | UNIPART &gt;&gt; GFE282 | UNIPART &gt;&gt; GFE232 | A.P. &gt;&gt; CA169 | A.P. &gt;&gt; CA167 | A.P. &gt;&gt; LK1080 | MECAFILTER &gt;&gt; H18 | MECAFILTER &gt;&gt; ELH4405 | MECAFILTER &gt;&gt; ELH4255 | ASHIKA &gt;&gt; 10M0001 | ASHIKA &gt;&gt; 1004410 | ASHIKA &gt;&gt; 100H005 | ASHIKA &gt;&gt; 1001198 | ASHIKA &gt;&gt; 1004498 | COOPERSFIAAM FILTERS &gt;&gt; FT5407 | COOPERSFIAAM FILTERS &gt;&gt; FT4908 | UNION &gt;&gt; C532 | UNION &gt;&gt; C414 | UNION &gt;&gt; C413 | UNION &gt;&gt; C411 | UNION &gt;&gt; C410 | UNION &gt;&gt; C331</t>
  </si>
  <si>
    <t>CHAMPION</t>
  </si>
  <si>
    <t>Height, mm &gt;&gt; 85 | Thread Size,  &gt;&gt; M20x1.5 | Inner Diameter, mm &gt;&gt; 53 | Outer Diameter, mm &gt;&gt; 69,5 |  &gt;&gt; Screw-on Filter</t>
  </si>
  <si>
    <t>ALFA ROMEO &gt;&gt; 0055230822 | FIAT &gt;&gt; 0055230822 | FIAT &gt;&gt; 46751179 | FIAT &gt;&gt; 46544820 | FORD &gt;&gt; 3396825 | FORD &gt;&gt; 3803268 | FORD &gt;&gt; 1699522 | FORD &gt;&gt; 1535505 | FORD &gt;&gt; KL0714302B | FORD &gt;&gt; AS516731AA | FORD &gt;&gt; 9S516731AA | HONDA &gt;&gt; 15400PLC004 | ISUZU &gt;&gt; 8943687270 | ISUZU &gt;&gt; 8944128150 | LANCIA &gt;&gt; 55230822 | MAZDA &gt;&gt; RFY0143029A | MAZDA &gt;&gt; JE1514302 | MAZDA &gt;&gt; JEY0143029A | MAZDA &gt;&gt; JEY014302A | MAZDA &gt;&gt; JEY014302 | MAZDA &gt;&gt; G6Y014302A | MITSUBISHI &gt;&gt; 30A4000100 | MITSUBISHI &gt;&gt; MZ690115 | MITSUBISHI &gt;&gt; MZ690116 | MITSUBISHI &gt;&gt; 1230A105 | MITSUBISHI &gt;&gt; MZ690070 | MITSUBISHI &gt;&gt; MZ690072 | MITSUBISHI &gt;&gt; MD321589 | MITSUBISHI &gt;&gt; MD325714 | MITSUBISHI &gt;&gt; MD05281090 | MITSUBISHI &gt;&gt; MD135737 | OPEL &gt;&gt; 90511146 | OPEL &gt;&gt; VOF88 | OPEL &gt;&gt; 649020 | OPEL &gt;&gt; VOF225 | OPEL &gt;&gt; VOF500 | OPEL &gt;&gt; 650134 | OPEL &gt;&gt; 649014 | OPEL &gt;&gt; 649013 | OPEL &gt;&gt; 649012 | OPEL &gt;&gt; 649007 | OPEL &gt;&gt; 5650301 | OPEL &gt;&gt; 94314263 | PEUGEOT &gt;&gt; 1109AC | PEUGEOT &gt;&gt; 1109CG | VAUXHALL &gt;&gt; VOF88 | VAUXHALL &gt;&gt; VOF500 | VAUXHALL &gt;&gt; VOF225 | VAUXHALL &gt;&gt; 649014 | VAUXHALL &gt;&gt; 4318092 | VOLVO &gt;&gt; 30866266 | VOLVO &gt;&gt; 11715849 | TATA &gt;&gt; 570418159905 | HYUNDAI &gt;&gt; OJE1514302 | KIA &gt;&gt; OJE1514302 | ALFAROME/FIAT/LANCI &gt;&gt; 71765459 | ALFAROME/FIAT/LANCI &gt;&gt; 71736161 | ALFAROME/FIAT/LANCI &gt;&gt; 55256470 | ALFAROME/FIAT/LANCI &gt;&gt; 55230822 | ALFAROME/FIAT/LANCI &gt;&gt; 46751179 | ALFAROME/FIAT/LANCI &gt;&gt; 46544820 | CASE IH &gt;&gt; VA30A4000105 | CASE IH &gt;&gt; VA30A4000103 | MASSEY FERGUSON &gt;&gt; 1039891 | MASSEY FERGUSON &gt;&gt; 947941 | SAME &gt;&gt; 000947941 | LAMBORGHINI &gt;&gt; 001039891 | LAMBORGHINI &gt;&gt; 000947941 | DEUTZ-FAHR &gt;&gt; 001039891 | GENERAL MOTORS &gt;&gt; 91151707 | GENERAL MOTORS &gt;&gt; 90541162 | GENERAL MOTORS &gt;&gt; 90485456 | GENERAL MOTORS &gt;&gt; 12582255 | GENERAL MOTORS &gt;&gt; 94316263 | GENERAL MOTORS &gt;&gt; 94314263 | GENERAL MOTORS &gt;&gt; 93182630 | GENERAL MOTORS &gt;&gt; 91151708 | GENERAL MOTORS &gt;&gt; 93156956 | PROTON &gt;&gt; PW510577E | PROTON &gt;&gt; PW510577 | FIAT-HITACHI &gt;&gt; 4294841 | SCHAEFF &gt;&gt; 5527655812 | TOFAS &gt;&gt; 46544820F | YALE &gt;&gt; 901301815 | NEW HOLLAND &gt;&gt; VA30A4000105 | KOBELCO &gt;&gt; VA30A4000105 | KOBELCO &gt;&gt; VA30A4000103 | CITROEN (DF-PSA) &gt;&gt; 1109CG | CITROEN (DF-PSA) &gt;&gt; 1109AE | GREAT WALL &gt;&gt; 1017100EG01 | BRILLIANCE &gt;&gt; SMD360935 | GEHL &gt;&gt; 82350 | GEHL &gt;&gt; 122497 | GEHL &gt;&gt; 548943687270 | FPT &gt;&gt; 55230822 | MANN-FILTER &gt;&gt; W6103 | KNECHT &gt;&gt; OC196 | KNECHT &gt;&gt; OC194 | MAHLE FILTER &gt;&gt; OC196 | MAHLE FILTER &gt;&gt; OC194 | PUROLATOR &gt;&gt; L17825 | FRAM &gt;&gt; PH5317 | TECNOCAR &gt;&gt; R198 | SogefiPro &gt;&gt; FT5407 | SOFIMA &gt;&gt; S1604B | COOPERS &gt;&gt; Z1128 | COOPERS &gt;&gt; Z1129 | CROSLAND &gt;&gt; 2142 | FILTRON &gt;&gt; OP5452 | UFI &gt;&gt; 3160400 | MOTORCRAFT &gt;&gt; FL822</t>
  </si>
  <si>
    <t>Height, mm &gt;&gt; 84 | Thread Size,  &gt;&gt; M22x1.5 | Inner Diameter, mm &gt;&gt; 64 | Outer Diameter, mm &gt;&gt; 90 |  &gt;&gt; Screw-on Filter</t>
  </si>
  <si>
    <t>ROVER &gt;&gt; BNP2637 | BOSCH &gt;&gt; 986452015 | BOSCH &gt;&gt; 0451102015 | BOSCH &gt;&gt; 451102015 | BOSCH &gt;&gt; 0986452015 | KNECHT &gt;&gt; OC77 | PURFLUX &gt;&gt; LS718 | MAHLE FILTER &gt;&gt; OC77 | PUROLATOR &gt;&gt; L10291 | FRAM &gt;&gt; PH3531 | TECNOCAR &gt;&gt; R428 | SogefiPro &gt;&gt; FT4931 | SOFIMA &gt;&gt; 8240R | SOFIMA &gt;&gt; S8240R | CLEAN FILTERS &gt;&gt; DO340 | COOPERS &gt;&gt; Z155 | CROSLAND &gt;&gt; 369 | TJ FILTERS &gt;&gt; FB5449 | ALCO FILTER &gt;&gt; SP904 | VIC &gt;&gt; C804 | UFI &gt;&gt; 2318200 | MOTORCRAFT &gt;&gt; EFL151 | UNIPART &gt;&gt; GFE192 | ACDelco &gt;&gt; X84</t>
  </si>
  <si>
    <t>FORD &gt;&gt; 3396825 | MAZDA &gt;&gt; JEYO143029A | MAZDA &gt;&gt; KL0714302A | MITSUBISHI &gt;&gt; MD135737 | GENERAL MOTORS &gt;&gt; 649013 | KNECHT &gt;&gt; OC196 | KNECHT &gt;&gt; OC194 | MAHLE FILTER &gt;&gt; OC196 | MAHLE FILTER &gt;&gt; OC194 | PUROLATOR &gt;&gt; L17825 | FRAM &gt;&gt; PH5317 | TECNOCAR &gt;&gt; R198 | SogefiPro &gt;&gt; FT5407 | SOFIMA &gt;&gt; S1604B | COOPERS &gt;&gt; Z1129 | COOPERS &gt;&gt; Z1128 | CROSLAND &gt;&gt; 2142 | UFI &gt;&gt; 3160400 | MOTORCRAFT &gt;&gt; FL822</t>
  </si>
  <si>
    <t>FRAM</t>
  </si>
  <si>
    <t>Outer Diameter, mm &gt;&gt; 68 | Port Thread,  &gt;&gt; M20x1,5 | Height, mm &gt;&gt; 87</t>
  </si>
  <si>
    <t>LOMBARDINI &gt;&gt; 21751131 | CHRYSLER &gt;&gt; L532 | DAIHATSU &gt;&gt; 12455035110 | FORD &gt;&gt; 3252742 | FORD &gt;&gt; 5004388 | FORD &gt;&gt; 5005080 | FORD &gt;&gt; 5005629 | FORD &gt;&gt; 3396825 | FORD &gt;&gt; 3891893 | FORD &gt;&gt; D276731A | FORD &gt;&gt; D27Z6731A | FORD &gt;&gt; D2PJ6724AA | FORD &gt;&gt; D2Z6713A | FORD &gt;&gt; D2P6714AA | FORD &gt;&gt; D2PJ6714AA | FORD &gt;&gt; A780X6714AA | FORD &gt;&gt; A780X6714NA | FORD &gt;&gt; A780X6714MA | FORD &gt;&gt; 5022738 | FORD &gt;&gt; 5027149 | FORD &gt;&gt; FS0714302B | FORD &gt;&gt; F12Z6731B | FORD &gt;&gt; F32Z6731A | HONDA &gt;&gt; 15400PR3810 | HONDA &gt;&gt; 15400PR3315 | HONDA &gt;&gt; 15400PLMA01 | HONDA &gt;&gt; 15400PLMA02 | HONDA &gt;&gt; 15400PLC004 | HONDA &gt;&gt; 15400PLC003 | HONDA &gt;&gt; 15400PH9004 | HONDA &gt;&gt; 15400PK1003 | HONDA &gt;&gt; 15400PH6004 | HONDA &gt;&gt; 15400PH1F04 | HONDA &gt;&gt; 04154PR3E00 | HONDA &gt;&gt; 15400PH1F01 | HONDA &gt;&gt; 15400PH1004 | HONDA &gt;&gt; 15400PC6003 | HONDA &gt;&gt; 15400PC6004 | HONDA &gt;&gt; 15400PH1003 | HONDA &gt;&gt; 15400MJO003 | HONDA &gt;&gt; 15400PC6000 | HONDA &gt;&gt; 15400679023 | HONDA &gt;&gt; 15400MJ0003 | HONDA &gt;&gt; 15400679005 | HONDA &gt;&gt; 15400679013 | HONDA &gt;&gt; 15400679003 | HONDA &gt;&gt; 15400679004 | HONDA &gt;&gt; 15400111003 | HONDA &gt;&gt; 15400611003 | HONDA &gt;&gt; 15400611013 | HONDA &gt;&gt; 15410MB0003 | HONDA &gt;&gt; 15400579003 | HONDA &gt;&gt; 15410MJ0003 | HONDA &gt;&gt; 1528487211 | HONDA &gt;&gt; 15401611033 | HONDA &gt;&gt; 15400RTA004 | HONDA &gt;&gt; 15220PH1014 | HONDA &gt;&gt; 15400RTA003 | HONDA &gt;&gt; 15400RBAF010MI | HONDA &gt;&gt; 15220PH1004 | HONDA &gt;&gt; 15400RBAF01 | HONDA &gt;&gt; 15400RAFT01 | HONDA &gt;&gt; 15400PT1K04 | HONDA &gt;&gt; 15400PT1K01 | IVECO &gt;&gt; J1317003 | IVECO &gt;&gt; J1315026 | IVECO &gt;&gt; J1314012 | IVECO &gt;&gt; J1314018 | IVECO &gt;&gt; J1314013 | IVECO &gt;&gt; J1313016 | IVECO &gt;&gt; J1313002 | IVECO &gt;&gt; J1313015 | IVECO &gt;&gt; J1310500 | IVECO &gt;&gt; J1310507 | IVECO &gt;&gt; J1311019 | LADA &gt;&gt; 212151012005 | LADA &gt;&gt; 21215101200500 | MAZDA &gt;&gt; F032802 | MAZDA &gt;&gt; Y70114302A | MAZDA &gt;&gt; RF7914302 | MAZDA &gt;&gt; RFY2143029 | MAZDA &gt;&gt; RFY2143029A | MAZDA &gt;&gt; RFY214302 | MAZDA &gt;&gt; RF2A14302A | MAZDA &gt;&gt; 2630002500 | MAZDA &gt;&gt; N3R114302 | MAZDA &gt;&gt; B6Y014300 | MAZDA &gt;&gt; KL0714302A | MAZDA &gt;&gt; JEY0143029A | MAZDA &gt;&gt; JEYO14302 | MAZDA &gt;&gt; JEY014302 | MAZDA &gt;&gt; JE1514302 | MAZDA &gt;&gt; 8FG1238029 | MAZDA &gt;&gt; 8FG112802 | MAZDA &gt;&gt; FER14302 | MAZDA &gt;&gt; FEY014302A | MITSUBISHI &gt;&gt; 30A4000103 | MITSUBISHI &gt;&gt; 30A4000102 | MITSUBISHI &gt;&gt; 30A4000101 | MITSUBISHI &gt;&gt; 30A4000100 | MITSUBISHI &gt;&gt; MZ690070T | MITSUBISHI &gt;&gt; MD352626 | MITSUBISHI &gt;&gt; MR984204 | MITSUBISHI &gt;&gt; MZ690070 | MITSUBISHI &gt;&gt; MD352627 | MITSUBISHI &gt;&gt; MD360935 | MITSUBISHI &gt;&gt; MD017440 | MITSUBISHI &gt;&gt; MD325714 | MITSUBISHI &gt;&gt; MD135737 | NISSAN &gt;&gt; 1520865F0D | NISSAN &gt;&gt; 1520831U0B | NISSAN &gt;&gt; 1520831U00 | NISSAN &gt;&gt; 1520831F0D | NISSAN &gt;&gt; 152083100B | PEUGEOT &gt;&gt; 1109Q3 | PEUGEOT &gt;&gt; 1109G5 | PEUGEOT &gt;&gt; 1109CG | PEUGEOT &gt;&gt; 1109AC | RENAULT &gt;&gt; 7701348107 | RENAULT &gt;&gt; 7711500014 | ROVER &gt;&gt; VOF1014 | ROVER &gt;&gt; LRF100120 | ROVER &gt;&gt; GFE282 | SUBARU &gt;&gt; 15208AA130 | SUBARU &gt;&gt; 420335500 | SUBARU &gt;&gt; 420335400 | SUBARU &gt;&gt; 380872100 | SUBARU &gt;&gt; SU00300311 | SUBARU &gt;&gt; 880872100 | SUBARU &gt;&gt; 15208AA160 | TOYOTA &gt;&gt; 1560B87309 | TOYOTA &gt;&gt; 156071280 | TOYOTA &gt;&gt; 156071260 | VOLVO &gt;&gt; 308662667 | VOLVO &gt;&gt; 30866266 | VOLVO &gt;&gt; 14523962 | HYUNDAI &gt;&gt; S2630002750 | HYUNDAI &gt;&gt; 2630002751 | HYUNDAI &gt;&gt; 2630002750 | HYUNDAI &gt;&gt; OFE3R14302 | HYUNDAI &gt;&gt; 15400PC6003 | HYUNDAI &gt;&gt; K90014300A | HYUNDAI &gt;&gt; 817323802 | HYUNDAI &gt;&gt; 0JE1514302 | HYUNDAI &gt;&gt; 0FE3R14302 | ROVER/AUSTIN &gt;&gt; FH1003 | ROVER/AUSTIN &gt;&gt; FH1058 | AC &gt;&gt; X46 | AC &gt;&gt; X56 | AC &gt;&gt; X169 | AC &gt;&gt; X4114E | AC &gt;&gt; X45 | AC &gt;&gt; X4001E | AC &gt;&gt; X119 | AC &gt;&gt; X156 | AC &gt;&gt; X118 | AC &gt;&gt; PF967 | AC &gt;&gt; PF867 | AC &gt;&gt; PF1051 | CASE IH &gt;&gt; VA30A4000103 | HITACHI &gt;&gt; 4294841 | HITACHI &gt;&gt; MD135737 | MASSEY FERGUSON &gt;&gt; 1039891 | MASSEY FERGUSON &gt;&gt; 947941 | GENERAL MOTORS &gt;&gt; VOF156 | GENERAL MOTORS &gt;&gt; 944128150 | GENERAL MOTORS &gt;&gt; 94455103 | GENERAL MOTORS &gt;&gt; 94412815 | GENERAL MOTORS &gt;&gt; 94314263 | GENERAL MOTORS &gt;&gt; JEY014302 | GENERAL MOTORS &gt;&gt; 93182630 | GENERAL MOTORS &gt;&gt; 93156769 | GENERAL MOTORS &gt;&gt; 91151708 | GENERAL MOTORS &gt;&gt; 91151707 | GENERAL MOTORS &gt;&gt; 90541163 | GENERAL MOTORS &gt;&gt; 90541162 | GENERAL MOTORS &gt;&gt; 90485457 | GENERAL MOTORS &gt;&gt; 90485456 | GENERAL MOTORS &gt;&gt; 8944597000 | GENERAL MOTORS &gt;&gt; 8944128150 | GENERAL MOTORS &gt;&gt; 8943687270 | GENERAL MOTORS &gt;&gt; 8943687200 | GENERAL MOTORS &gt;&gt; 8943142632 | GENERAL MOTORS &gt;&gt; 831567509 | GENERAL MOTORS &gt;&gt; 649014 | GENERAL MOTORS &gt;&gt; 649013 | GENERAL MOTORS &gt;&gt; 649012 | GENERAL MOTORS &gt;&gt; 649011 | GENERAL MOTORS &gt;&gt; 649010 | GENERAL MOTORS &gt;&gt; 649008 | GENERAL MOTORS &gt;&gt; 649006 | GENERAL MOTORS &gt;&gt; 6439518 | GENERAL MOTORS &gt;&gt; 5650301 | PROTON &gt;&gt; PW510253 | ASIA MOTORS &gt;&gt; OFE3R14302 | ASIA MOTORS &gt;&gt; K90014300A | HYSTER &gt;&gt; 324692 | KOMATSU &gt;&gt; YM12915035151 | KOMATSU &gt;&gt; YM11966035150 | KUBOTA &gt;&gt; 16271329090 | KUBOTA &gt;&gt; 162713290 | KUBOTA &gt;&gt; 1627132090 | KUBOTA &gt;&gt; HH16032093 | YANMAR &gt;&gt; 12445035110 | YANMAR &gt;&gt; 11900535100 | ISEKI &gt;&gt; 565004093650 | MANN-FILTER &gt;&gt; W81883 | MANN-FILTER &gt;&gt; W87 | MANN-FILTER &gt;&gt; W81899 | MANN-FILTER &gt;&gt; W71218 | MANN-FILTER &gt;&gt; W81480 | MANN-FILTER &gt;&gt; W81780 | MANN-FILTER &gt;&gt; W7199 | MANN-FILTER &gt;&gt; W6106 | MANN-FILTER &gt;&gt; W61082 | MANN-FILTER &gt;&gt; W67 | MANN-FILTER &gt;&gt; W6107 | MANN-FILTER &gt;&gt; W6102 | MANN-FILTER &gt;&gt; W6103 | MANN-FILTER &gt;&gt; MW810 | VALEO &gt;&gt; 586062 | BOSCH &gt;&gt; F026407077 | BOSCH &gt;&gt; F026407025 | BOSCH &gt;&gt; 0986452906 | BOSCH &gt;&gt; P7077 | BOSCH &gt;&gt; P7025 | BOSCH &gt;&gt; P3372 | BOSCH &gt;&gt; P2007 | BOSCH &gt;&gt; P2036 | BOSCH &gt;&gt; P2006 | BOSCH &gt;&gt; OF110 | BOSCH &gt;&gt; 0986452006 | BOSCH &gt;&gt; 0986452059 | BOSCH &gt;&gt; BOF1042 | BOSCH &gt;&gt; BOF2036 | BOSCH &gt;&gt; 0986452036 | BOSCH &gt;&gt; 986452906 | BOSCH &gt;&gt; 0451103372 | BOSCH &gt;&gt; 1986452007 | BOSCH &gt;&gt; 9181474042 | BOSCH &gt;&gt; 9181474026 | BOSCH &gt;&gt; 1986452006 | BOSCH &gt;&gt; 1900026000 | BOSCH &gt;&gt; 0986452007 | PURFLUX &gt;&gt; LS705 | PURFLUX &gt;&gt; LS350 | PURFLUX &gt;&gt; LS225 | PURFLUX &gt;&gt; LS287 | PURFLUX &gt;&gt; LS207 | MAHLE FILTER &gt;&gt; CV443 | MAHLE FILTER &gt;&gt; OC196 | MAHLE FILTER &gt;&gt; OC521 | MAHLE FILTER &gt;&gt; OC617 | MAHLE FILTER &gt;&gt; OC495 | MAHLE FILTER &gt;&gt; OC115 | MAHLE FILTER &gt;&gt; OC1177 | MAHLE FILTER &gt;&gt; OC194 | MAHLE FILTER &gt;&gt; AW36 | MAHLE FILTER &gt;&gt; AW33 | MAHLE FILTER &gt;&gt; AW207 | MAHLE FILTER &gt;&gt; H0557 | CHAMPION &gt;&gt; F110606 | CHAMPION &gt;&gt; F119606 | CHAMPION &gt;&gt; F208606 | CHAMPION &gt;&gt; F302 | CHAMPION &gt;&gt; F126606 | CHAMPION &gt;&gt; F123606 | CHAMPION &gt;&gt; F122606 | PUROLATOR &gt;&gt; PER73 | PUROLATOR &gt;&gt; PER4620 | PUROLATOR &gt;&gt; PER4459 | PUROLATOR &gt;&gt; PC239 | PUROLATOR &gt;&gt; L14622 | PUROLATOR &gt;&gt; L17693 | PUROLATOR &gt;&gt; L14620 | PUROLATOR &gt;&gt; FCO73 | HERTH+BUSS JAKOPARTS &gt;&gt; N1317009 | HERTH+BUSS JAKOPARTS &gt;&gt; J1315026 | HERTH+BUSS JAKOPARTS &gt;&gt; J1315024 | HERTH+BUSS JAKOPARTS &gt;&gt; J131406 | HERTH+BUSS JAKOPARTS &gt;&gt; J131405 | HERTH+BUSS JAKOPARTS &gt;&gt; J1314018 | HERTH+BUSS JAKOPARTS &gt;&gt; J1314013 | HERTH+BUSS JAKOPARTS &gt;&gt; J1314009 | HERTH+BUSS JAKOPARTS &gt;&gt; J131316 | HERTH+BUSS JAKOPARTS &gt;&gt; J131315 | HERTH+BUSS JAKOPARTS &gt;&gt; J131302 | HERTH+BUSS JAKOPARTS &gt;&gt; J1313016 | HERTH+BUSS JAKOPARTS &gt;&gt; J1313015 | HERTH+BUSS JAKOPARTS &gt;&gt; J131301 | QUINTON HAZELL &gt;&gt; QOF5490 | CHAMP &gt;&gt; PH2868 | CHAMP &gt;&gt; PH2849 | CHAMP &gt;&gt; PH2867 | CHAMP &gt;&gt; PH2808 | CHAMP &gt;&gt; PH2805 | CHAMP &gt;&gt; OF418 | CHAMP &gt;&gt; LS108 | CHAMP &gt;&gt; LS104 | CHAMP &gt;&gt; LFP5522 | DENSO &gt;&gt; 124006 | HENGST FILTER &gt;&gt; H97W11 | HENGST FILTER &gt;&gt; H97W05 | HENGST FILTER &gt;&gt; H97W02 | HENGST FILTER &gt;&gt; H90W25 | HENGST FILTER &gt;&gt; H313W | HENGST FILTER &gt;&gt; H20W04 | DELPHI &gt;&gt; F694 | DELPHI &gt;&gt; F6477 | TECNOCAR &gt;&gt; R511 | TECNOCAR &gt;&gt; R198 | SogefiPro &gt;&gt; FT5407 | SogefiPro &gt;&gt; FT5405 | SogefiPro &gt;&gt; FT4908 | SogefiPro &gt;&gt; FT4907 | SogefiPro &gt;&gt; FT408EC | DOYEN &gt;&gt; DOF4907 | DOYEN &gt;&gt; DOF4904 | DOYEN &gt;&gt; DOF4903 | DOYEN &gt;&gt; DOF4900 | DOYEN &gt;&gt; DOF3500 | DOYEN &gt;&gt; DOF3407 | DOYEN &gt;&gt; DOF3403 | DOYEN &gt;&gt; DOF3402 | SOFIMA &gt;&gt; S6901R | SOFIMA &gt;&gt; S3485R | SOFIMA &gt;&gt; S3479R | SOFIMA &gt;&gt; S3261R | SOFIMA &gt;&gt; S3265R | SOFIMA &gt;&gt; S3243R | AMC Filter &gt;&gt; CY003 | AMC Filter &gt;&gt; NO242C | AMC Filter &gt;&gt; MO511 | AMC Filter &gt;&gt; MO429 | AMC Filter &gt;&gt; IO3324 | AMC Filter &gt;&gt; HO824 | AMC Filter &gt;&gt; HO823 | AMC Filter &gt;&gt; HO605 | P.B.R. &gt;&gt; BC1377 | P.B.R. &gt;&gt; BC1318 | P.B.R. &gt;&gt; BC1088 | CLEAN FILTERS &gt;&gt; DO925A | CLEAN FILTERS &gt;&gt; DO925 | CLEAN FILTERS &gt;&gt; DO912 | CLEAN FILTERS &gt;&gt; DO853 | CLEAN FILTERS &gt;&gt; DO828 | CLEAN FILTERS &gt;&gt; DO324 | CLEAN FILTERS &gt;&gt; DO289 | CLEAN FILTERS &gt;&gt; DO1823 | CLEAN FILTERS &gt;&gt; FV4610 | CLEAN FILTERS &gt;&gt; FO9226 | ALCO (ZYPERN) &gt;&gt; SP959 | ALCO (ZYPERN) &gt;&gt; SP937 | ALCO (ZYPERN) &gt;&gt; SP934 | ALCO (ZYPERN) &gt;&gt; SP911 | ALCO (ZYPERN) &gt;&gt; SP873 | ALCO (ZYPERN) &gt;&gt; SP819 | ALCO (ZYPERN) &gt;&gt; SP1001 | BALDWIN &gt;&gt; B199 | BALDWIN &gt;&gt; B161 | BALDWIN &gt;&gt; B1402 | COOPERS &gt;&gt; Z920 | COOPERS &gt;&gt; Z1129 | COOPERS &gt;&gt; Z1344 | COOPERS &gt;&gt; Z1128 | CROSLAND &gt;&gt; 310 | CROSLAND &gt;&gt; 2163 | CROSLAND &gt;&gt; 2162 | CROSLAND &gt;&gt; 2145 | CROSLAND &gt;&gt; 2142 | CROSLAND &gt;&gt; 2141 | CROSLAND &gt;&gt; 2123 | CROSLAND &gt;&gt; 2112 | CROSLAND &gt;&gt; 2095 | CROSLAND &gt;&gt; 2071 | CROSLAND &gt;&gt; 2065 | CROSLAND &gt;&gt; 2025 | CROSLAND &gt;&gt; 672 | CROSLAND &gt;&gt; 662 | CROSLAND &gt;&gt; 636 | TEHO &gt;&gt; 4311 | TEHO &gt;&gt; 4304 | TEHO &gt;&gt; 4187 | TEHO &gt;&gt; 4060 | TEHO &gt;&gt; 4025 | TEHO &gt;&gt; OK25 | TEHO &gt;&gt; OK60 | THERMO KING &gt;&gt; 114928 | WIX FILTERS &gt;&gt; WL7192 | WIX FILTERS &gt;&gt; WL7081 | WIX FILTERS &gt;&gt; WL7134 | WIX FILTERS &gt;&gt; AP628 | WIX FILTERS &gt;&gt; 51356 | WIX FILTERS &gt;&gt; 51064 | WOODGATE &gt;&gt; WGL3644 | WOODGATE &gt;&gt; WGL716 | WOODGATE &gt;&gt; WGL3369 | JAPANPARTS &gt;&gt; JFO705S | JAPANPARTS &gt;&gt; JFO703 | JAPANPARTS &gt;&gt; JFO599S | JAPANPARTS &gt;&gt; JFO599 | JAPANPARTS &gt;&gt; JFO510 | JAPANPARTS &gt;&gt; JFO508 | JAPANPARTS &gt;&gt; JFO429 | JAPANPARTS &gt;&gt; JFO498 | JAPANPARTS &gt;&gt; JFO409 | JAPANPARTS &gt;&gt; JFO410S | JAPANPARTS &gt;&gt; JFO406S | JAPANPARTS &gt;&gt; JFO406 | JAPANPARTS &gt;&gt; JFO404 | JAPANPARTS &gt;&gt; JFO393 | JAPANPARTS &gt;&gt; JFO316S | JAPANPARTS &gt;&gt; JFO316 | JAPANPARTS &gt;&gt; JFO315 | JAPANPARTS &gt;&gt; JFO305 | JAPANPARTS &gt;&gt; JFO303 | JAPANPARTS &gt;&gt; JFO302 | JAPANPARTS &gt;&gt; JFO301 | JAPANPARTS &gt;&gt; JFO002 | JAPANPARTS &gt;&gt; FOM01S | JAPANPARTS &gt;&gt; FO599S | JAPANPARTS &gt;&gt; FO498S | JAPANPARTS &gt;&gt; FO410S | JAPANPARTS &gt;&gt; FO316S | JAPANPARTS &gt;&gt; FO198S | FILTRON &gt;&gt; OP623 | FILTRON &gt;&gt; OP575 | FILTRON &gt;&gt; OP598 | FILTRON &gt;&gt; OP557 | FILTRON &gt;&gt; OP558 | UNICO FILTER &gt;&gt; LI89280 | VIC &gt;&gt; C805C | VIC &gt;&gt; C805 | VIC &gt;&gt; C415 | VIC &gt;&gt; C407 | VIC &gt;&gt; O403 | VIC &gt;&gt; C406N | VIC &gt;&gt; C406C | VIC &gt;&gt; C406 | VIC &gt;&gt; C403 | VIC &gt;&gt; C401 | VIC &gt;&gt; C364 | VIC &gt;&gt; C304 | VIC &gt;&gt; C302 | UFI &gt;&gt; 2327100 | UFI &gt;&gt; 2326500 | UFI &gt;&gt; 2326000 | UFI &gt;&gt; 2324300 | UFI &gt;&gt; 2313300 | FLEETGUARD &gt;&gt; LF3691 | FLEETGUARD &gt;&gt; LF3644 | DONALDSON &gt;&gt; P779164 | DONALDSON &gt;&gt; P550162 | DONALDSON &gt;&gt; P502057 | DONALDSON &gt;&gt; P502051 | DONALDSON &gt;&gt; P502009 | DONALDSON &gt;&gt; P502007 | MOTORCRAFT &gt;&gt; EFL487 | MOTORCRAFT &gt;&gt; EFL383 | MOTORCRAFT &gt;&gt; EFL364 | MOTORCRAFT &gt;&gt; EFL361 | MOTORCRAFT &gt;&gt; EFL320 | MOTORCRAFT &gt;&gt; EFL319 | MOTORCRAFT &gt;&gt; EFL314 | MOTORCRAFT &gt;&gt; EFL296 | MOTORCRAFT &gt;&gt; EFL130 | MOTORCRAFT &gt;&gt; EFL129 | MOTORCRAFT &gt;&gt; EFL091 | MOTORCRAFT &gt;&gt; FL822 | MOTORCRAFT &gt;&gt; FL295DP | MOTORCRAFT &gt;&gt; FL295 | UNIPART &gt;&gt; GFE37 | UNIPART &gt;&gt; GFE321 | UNIPART &gt;&gt; GFE305 | UNIPART &gt;&gt; GFE232 | UNIPART &gt;&gt; GFE228 | A.P. &gt;&gt; CA169 | A.P. &gt;&gt; CA167 | A.P. &gt;&gt; LK1080 | MECAFILTER &gt;&gt; ELH4405 | MECAFILTER &gt;&gt; ELH4233 | MECAFILTER &gt;&gt; ELH4169 | MECAFILTER &gt;&gt; ELH4168 | MECAFILTER &gt;&gt; ELH4143 | MECAFILTER &gt;&gt; ELH4119 | MECAFILTER &gt;&gt; H18 | ASHIKA &gt;&gt; 10M0001 | ASHIKA &gt;&gt; 100H005 | ASHIKA &gt;&gt; 1004498 | ASHIKA &gt;&gt; 1004410 | ASHIKA &gt;&gt; 1001198 | COOPERSFIAAM FILTERS &gt;&gt; FT5407 | COOPERSFIAAM FILTERS &gt;&gt; FT5405 | COOPERSFIAAM FILTERS &gt;&gt; FT4908 | UNION &gt;&gt; C532 | UNION &gt;&gt; C414 | UNION &gt;&gt; C413 | UNION &gt;&gt; C411 | UNION &gt;&gt; C410 | UNION &gt;&gt; C331</t>
  </si>
  <si>
    <t>TECNOCAR</t>
  </si>
  <si>
    <t>Outer Diameter, mm &gt;&gt; 66 | Port Thread,  &gt;&gt; M20x1,5 | Height, mm &gt;&gt; 90</t>
  </si>
  <si>
    <t>LOMBARDINI &gt;&gt; 21751131 | CHRYSLER &gt;&gt; L532 | FORD &gt;&gt; 3396825 | FORD &gt;&gt; 5027149 | FORD &gt;&gt; FS0714302B | FORD &gt;&gt; F12Z6731B | FORD &gt;&gt; F32Z6731A | FORD &gt;&gt; 3891893 | FORD &gt;&gt; 5022738 | HONDA &gt;&gt; 04154PR3E00 | HONDA &gt;&gt; 15400PH1003 | HONDA &gt;&gt; 15400MJO003 | HONDA &gt;&gt; 15400PC6000 | HONDA &gt;&gt; 1528487211 | HONDA &gt;&gt; 15400579003 | HONDA &gt;&gt; 15400611013 | HONDA &gt;&gt; 15401611033 | HONDA &gt;&gt; 15400RTA003 | HONDA &gt;&gt; 15400RTA004 | HONDA &gt;&gt; 15400RBAF01 | HONDA &gt;&gt; 15400RBAF010MI | HONDA &gt;&gt; 15400PT1K01 | HONDA &gt;&gt; 15400RAFT01 | HONDA &gt;&gt; 15400PK1003 | HONDA &gt;&gt; 15400PLC004 | HONDA &gt;&gt; 15400PLMA02 | HONDA &gt;&gt; 15400PLC003 | IVECO &gt;&gt; J1317003 | IVECO &gt;&gt; J1315026 | IVECO &gt;&gt; J1314013 | IVECO &gt;&gt; J1314018 | IVECO &gt;&gt; J1313015 | IVECO &gt;&gt; J1314012 | IVECO &gt;&gt; J1313016 | IVECO &gt;&gt; J1310500 | IVECO &gt;&gt; J1310507 | IVECO &gt;&gt; J1311019 | IVECO &gt;&gt; J1313002 | LADA &gt;&gt; 21215101200500 | LADA &gt;&gt; 212151012005 | MAZDA &gt;&gt; 2630002500 | MAZDA &gt;&gt; KL0714302A | MAZDA &gt;&gt; JEY0143029A | MAZDA &gt;&gt; JEYO14302 | MAZDA &gt;&gt; JE1514302 | MAZDA &gt;&gt; JEY014302 | MAZDA &gt;&gt; 8FG1238029 | MAZDA &gt;&gt; 8FG112802 | MAZDA &gt;&gt; FER14302 | MAZDA &gt;&gt; FEY014302A | MAZDA &gt;&gt; N3R114302 | MITSUBISHI &gt;&gt; 30A4000103 | MITSUBISHI &gt;&gt; 30A4000102 | MITSUBISHI &gt;&gt; 30A4000101 | MITSUBISHI &gt;&gt; MZ690070 | MITSUBISHI &gt;&gt; MZ690070T | MITSUBISHI &gt;&gt; MR984204 | MITSUBISHI &gt;&gt; MD135737 | MITSUBISHI &gt;&gt; 30A4000100 | MITSUBISHI &gt;&gt; MD352627 | MITSUBISHI &gt;&gt; MD360935 | MITSUBISHI &gt;&gt; MD325714 | NISSAN &gt;&gt; 1520865F0D | NISSAN &gt;&gt; 1520831U0B | NISSAN &gt;&gt; 1520831U00 | NISSAN &gt;&gt; 1520831F0D | NISSAN &gt;&gt; 152083100B | PEUGEOT &gt;&gt; 1109Q3 | PEUGEOT &gt;&gt; 1109CG | PEUGEOT &gt;&gt; 1109AC | RENAULT &gt;&gt; 7711500014 | ROVER &gt;&gt; VOF1014 | SUBARU &gt;&gt; 15208AA160 | SUBARU &gt;&gt; 15208AA130 | SUBARU &gt;&gt; SU00300311 | SUBARU &gt;&gt; 380872100 | TOYOTA &gt;&gt; 1560B87309 | TOYOTA &gt;&gt; 156071280 | VOLVO &gt;&gt; 30866266 | VOLVO &gt;&gt; 14523962 | VOLVO &gt;&gt; 308662667 | HYUNDAI &gt;&gt; 0FE3R14302 | HYUNDAI &gt;&gt; 15400PC6003 | HYUNDAI &gt;&gt; K90014300A | HYUNDAI &gt;&gt; 817323802 | HYUNDAI &gt;&gt; S2630002750 | HYUNDAI &gt;&gt; OFE3R14302 | HYUNDAI &gt;&gt; 0JE1514302 | ROVER/AUSTIN &gt;&gt; FH1003 | ROVER/AUSTIN &gt;&gt; FH1058 | AC &gt;&gt; X46 | AC &gt;&gt; X169 | AC &gt;&gt; X4114E | AC &gt;&gt; X45 | AC &gt;&gt; X4001E | AC &gt;&gt; X146 | AC &gt;&gt; X156 | AC &gt;&gt; PF1051 | AC &gt;&gt; PF967 | CASE IH &gt;&gt; VA30A4000103 | HITACHI &gt;&gt; 4294841 | HITACHI &gt;&gt; MD135737 | MASSEY FERGUSON &gt;&gt; 947941 | MASSEY FERGUSON &gt;&gt; 1039891 | GENERAL MOTORS &gt;&gt; 94455103 | GENERAL MOTORS &gt;&gt; JEY014302 | GENERAL MOTORS &gt;&gt; 94412815 | GENERAL MOTORS &gt;&gt; 94314263 | GENERAL MOTORS &gt;&gt; 91151708 | GENERAL MOTORS &gt;&gt; 91151707 | GENERAL MOTORS &gt;&gt; 90541163 | GENERAL MOTORS &gt;&gt; 90541162 | GENERAL MOTORS &gt;&gt; 90485457 | GENERAL MOTORS &gt;&gt; 90485456 | GENERAL MOTORS &gt;&gt; 8944597000 | GENERAL MOTORS &gt;&gt; 8943687200 | GENERAL MOTORS &gt;&gt; 8943687270 | GENERAL MOTORS &gt;&gt; 831567509 | GENERAL MOTORS &gt;&gt; 8943142632 | GENERAL MOTORS &gt;&gt; 649013 | GENERAL MOTORS &gt;&gt; 649014 | GENERAL MOTORS &gt;&gt; 649012 | GENERAL MOTORS &gt;&gt; 649011 | GENERAL MOTORS &gt;&gt; 649008 | GENERAL MOTORS &gt;&gt; 649010 | GENERAL MOTORS &gt;&gt; 5650301 | GENERAL MOTORS &gt;&gt; VOF156 | PROTON &gt;&gt; PW510253 | ASIA MOTORS &gt;&gt; K90014300A | ASIA MOTORS &gt;&gt; OFE3R14302 | HYSTER &gt;&gt; 324692 | KOMATSU &gt;&gt; YM12915035151 | KOMATSU &gt;&gt; YM11966035150 | KUBOTA &gt;&gt; 16271329090 | KUBOTA &gt;&gt; 162713290 | YANMAR &gt;&gt; 11900535100 | YANMAR &gt;&gt; 12445035110 | ISEKI &gt;&gt; 565004093650 | MANN-FILTER &gt;&gt; W81480 | MANN-FILTER &gt;&gt; W6107 | MANN-FILTER &gt;&gt; W61082 | MANN-FILTER &gt;&gt; W67 | MANN-FILTER &gt;&gt; W61081 | MANN-FILTER &gt;&gt; W6103 | MANN-FILTER &gt;&gt; W6106 | MANN-FILTER &gt;&gt; W6102 | VALEO &gt;&gt; 586062 | BOSCH &gt;&gt; BOF2036 | BOSCH &gt;&gt; BOF1042 | BOSCH &gt;&gt; 986452906 | BOSCH &gt;&gt; 9181474042 | BOSCH &gt;&gt; 9181474026 | BOSCH &gt;&gt; 1986452006 | BOSCH &gt;&gt; 1900026000 | BOSCH &gt;&gt; F026407077 | BOSCH &gt;&gt; 0451103372 | BOSCH &gt;&gt; P7077 | BOSCH &gt;&gt; P3372 | BOSCH &gt;&gt; OF110 | PURFLUX &gt;&gt; LS207 | PURFLUX &gt;&gt; LS350 | PURFLUX &gt;&gt; LS225 | PURFLUX &gt;&gt; LS287 | MAHLE FILTER &gt;&gt; H0557 | MAHLE FILTER &gt;&gt; OC617 | MAHLE FILTER &gt;&gt; OC194 | MAHLE FILTER &gt;&gt; OC495 | MAHLE FILTER &gt;&gt; OC521 | MAHLE FILTER &gt;&gt; OC196 | MAHLE FILTER &gt;&gt; OC1177 | CHAMPION &gt;&gt; F302 | CHAMPION &gt;&gt; F208606 | CHAMPION &gt;&gt; F126606 | CHAMPION &gt;&gt; F123606 | CHAMPION &gt;&gt; F122606 | CHAMPION &gt;&gt; F119606 | CHAMPION &gt;&gt; F110606 | PUROLATOR &gt;&gt; L14620 | PUROLATOR &gt;&gt; L17693 | PUROLATOR &gt;&gt; FCO73 | PUROLATOR &gt;&gt; PER4620 | HERTH+BUSS JAKOPARTS &gt;&gt; J1315026 | HERTH+BUSS JAKOPARTS &gt;&gt; J1315024 | HERTH+BUSS JAKOPARTS &gt;&gt; J131406 | HERTH+BUSS JAKOPARTS &gt;&gt; J131405 | HERTH+BUSS JAKOPARTS &gt;&gt; J1314018 | HERTH+BUSS JAKOPARTS &gt;&gt; J1314013 | HERTH+BUSS JAKOPARTS &gt;&gt; J1314009 | HERTH+BUSS JAKOPARTS &gt;&gt; J131316 | HERTH+BUSS JAKOPARTS &gt;&gt; J131315 | HERTH+BUSS JAKOPARTS &gt;&gt; J1313016 | HERTH+BUSS JAKOPARTS &gt;&gt; J1313015 | HERTH+BUSS JAKOPARTS &gt;&gt; N1317009 | QUINTON HAZELL &gt;&gt; QOF5490 | FRAM &gt;&gt; PH5343 | FRAM &gt;&gt; PH3593A | FRAM &gt;&gt; PH5317 | CHAMP &gt;&gt; LS108 | CHAMP &gt;&gt; LS104 | CHAMP &gt;&gt; PH2849 | CHAMP &gt;&gt; PH2868 | CHAMP &gt;&gt; OF418 | DENSO &gt;&gt; 124006 | HENGST FILTER &gt;&gt; H97W05 | HENGST FILTER &gt;&gt; H97W11 | HENGST FILTER &gt;&gt; H97W02 | HENGST FILTER &gt;&gt; H90W25 | HENGST FILTER &gt;&gt; H313W | DELPHI &gt;&gt; F694 | DELPHI &gt;&gt; F6477 | TECNOCAR &gt;&gt; R511 | TECNOCAR &gt;&gt; R198 | SogefiPro &gt;&gt; FT5407 | SogefiPro &gt;&gt; FT5405 | DOYEN &gt;&gt; DOF4907 | DOYEN &gt;&gt; DOF4904 | SOFIMA &gt;&gt; S3479R | SOFIMA &gt;&gt; S3485R | SOFIMA &gt;&gt; S3261R | SOFIMA &gt;&gt; S3265R | AMC Filter &gt;&gt; IO3324 | AMC Filter &gt;&gt; HO824 | AMC Filter &gt;&gt; NO242C | AMC Filter &gt;&gt; MO511 | P.B.R. &gt;&gt; BC1377 | P.B.R. &gt;&gt; BC1318 | P.B.R. &gt;&gt; BC1088 | CLEAN FILTERS &gt;&gt; FV4610 | CLEAN FILTERS &gt;&gt; FO9226 | CLEAN FILTERS &gt;&gt; DO925A | CLEAN FILTERS &gt;&gt; DO925 | CLEAN FILTERS &gt;&gt; DO1823 | ALCO (ZYPERN) &gt;&gt; SP959 | ALCO (ZYPERN) &gt;&gt; SP1001 | ALCO (ZYPERN) &gt;&gt; SP873 | BALDWIN &gt;&gt; B1402 | BALDWIN &gt;&gt; B1401 | COOPERS &gt;&gt; Z1344 | COOPERS &gt;&gt; Z1129 | COOPERS &gt;&gt; Z1128 | CROSLAND &gt;&gt; 2163 | CROSLAND &gt;&gt; 2162 | CROSLAND &gt;&gt; 2142 | CROSLAND &gt;&gt; 2141 | CROSLAND &gt;&gt; 2123 | CROSLAND &gt;&gt; 2112 | CROSLAND &gt;&gt; 2095 | CROSLAND &gt;&gt; 2025 | CROSLAND &gt;&gt; 636 | TEHO &gt;&gt; 4311 | TEHO &gt;&gt; 4304 | TEHO &gt;&gt; 4187 | TEHO &gt;&gt; 4060 | TEHO &gt;&gt; 4025 | WIX FILTERS &gt;&gt; AP628 | WIX FILTERS &gt;&gt; 51356 | WIX FILTERS &gt;&gt; 51344 | WIX FILTERS &gt;&gt; 51338 | WIX FILTERS &gt;&gt; 51334 | WIX FILTERS &gt;&gt; WL7192 | WIX FILTERS &gt;&gt; WL7134 | WIX FILTERS &gt;&gt; 51064 | WOODGATE &gt;&gt; WGL716 | WOODGATE &gt;&gt; WGL3644 | WOODGATE &gt;&gt; WGL3369 | JAPANPARTS &gt;&gt; JFO510 | JAPANPARTS &gt;&gt; JFO508 | JAPANPARTS &gt;&gt; JFO410S | JAPANPARTS &gt;&gt; JFO409 | JAPANPARTS &gt;&gt; JFO404 | JAPANPARTS &gt;&gt; JFO316S | JAPANPARTS &gt;&gt; JFO316 | JAPANPARTS &gt;&gt; JFO307 | JAPANPARTS &gt;&gt; JFO305 | JAPANPARTS &gt;&gt; JFO303 | JAPANPARTS &gt;&gt; JFO302 | JAPANPARTS &gt;&gt; JFO002 | JAPANPARTS &gt;&gt; FOM01S | JAPANPARTS &gt;&gt; FO498S | JAPANPARTS &gt;&gt; FO410S | JAPANPARTS &gt;&gt; FO316S | JAPANPARTS &gt;&gt; FO198S | FILTRON &gt;&gt; OP623 | FILTRON &gt;&gt; OP598 | FILTRON &gt;&gt; OP575 | FILTRON &gt;&gt; OP558 | FILTRON &gt;&gt; OP557 | UNICO FILTER &gt;&gt; LI6902 | VIC &gt;&gt; C304 | VIC &gt;&gt; C302 | VIC &gt;&gt; C415 | VIC &gt;&gt; C407 | VIC &gt;&gt; C406N | VIC &gt;&gt; C403 | VIC &gt;&gt; C364 | UFI &gt;&gt; 2326500 | UFI &gt;&gt; 2326000 | FLEETGUARD &gt;&gt; LF3691 | FLEETGUARD &gt;&gt; LF3644 | DONALDSON &gt;&gt; P779164 | DONALDSON &gt;&gt; P502057 | DONALDSON &gt;&gt; P502051 | DONALDSON &gt;&gt; P502009 | DONALDSON &gt;&gt; P502007 | MOTORCRAFT &gt;&gt; FL822 | MOTORCRAFT &gt;&gt; FL821 | MOTORCRAFT &gt;&gt; FL295DP | MOTORCRAFT &gt;&gt; FL295 | MOTORCRAFT &gt;&gt; EFL487 | MOTORCRAFT &gt;&gt; EFL383 | MOTORCRAFT &gt;&gt; EFL364 | MOTORCRAFT &gt;&gt; EFL361 | MOTORCRAFT &gt;&gt; EFL320 | MOTORCRAFT &gt;&gt; EFL319 | MOTORCRAFT &gt;&gt; EFL314 | MOTORCRAFT &gt;&gt; EFL296 | MOTORCRAFT &gt;&gt; EFL091 | UNIPART &gt;&gt; GFE37 | UNIPART &gt;&gt; GFE321 | UNIPART &gt;&gt; GFE305 | A.P. &gt;&gt; LK1080 | A.P. &gt;&gt; CA169 | A.P. &gt;&gt; CA167 | MECAFILTER &gt;&gt; H18 | MECAFILTER &gt;&gt; ELH4405 | MECAFILTER &gt;&gt; ELH4233 | MECAFILTER &gt;&gt; ELH4169 | MECAFILTER &gt;&gt; ELH4168 | ASHIKA &gt;&gt; 1004498 | ASHIKA &gt;&gt; 1004410 | ASHIKA &gt;&gt; 10M0001 | ASHIKA &gt;&gt; 1001198 | ASHIKA &gt;&gt; 100H005 | COOPERSFIAAM FILTERS &gt;&gt; FT5407 | COOPERSFIAAM FILTERS &gt;&gt; FT5405 | UNION &gt;&gt; C532 | UNION &gt;&gt; C414 | UNION &gt;&gt; C413 | UNION &gt;&gt; C411 | UNION &gt;&gt; C410 | UNION &gt;&gt; C331</t>
  </si>
  <si>
    <t>MAGNETI MARELLI</t>
  </si>
  <si>
    <t>Height 1, mm &gt;&gt; 75 | Outer Diameter, mm &gt;&gt; 76</t>
  </si>
  <si>
    <t>from construction year &gt;&gt; 01/1987 | Engine Code &gt;&gt; D15A1</t>
  </si>
  <si>
    <t>CITROEN &gt;&gt; 1109F7 | CITROEN &gt;&gt; 1109G5 | FORD &gt;&gt; 5021023 | FORD &gt;&gt; 3252742 | HONDA &gt;&gt; 15220PH1004 | HONDA &gt;&gt; 15400MJ0003 | HONDA &gt;&gt; 15400RBAF010MI | HONDA &gt;&gt; 15410MB0003 | HONDA &gt;&gt; 15410MJ0003 | HONDA &gt;&gt; 15400PC6003 | HONDA &gt;&gt; 15400PH1014 | HONDA &gt;&gt; 15400PH1F03 | HONDA &gt;&gt; 15400PH9004 | HONDA &gt;&gt; 15400PH1F02 | HONDA &gt;&gt; 15400PC6004 | HONDA &gt;&gt; 15400PH1004 | HONDA &gt;&gt; 15220PH1014 | HONDA &gt;&gt; 15400611003 | HONDA &gt;&gt; 15400679004 | HONDA &gt;&gt; 15400679013 | HONDA &gt;&gt; 15400679023 | HONDA &gt;&gt; 15400679005 | HONDA &gt;&gt; 15400679003 | ISUZU &gt;&gt; 8941357471 | ISUZU &gt;&gt; 8942019422 | ISUZU &gt;&gt; 8944128150 | ISUZU &gt;&gt; 894456741 | ISUZU &gt;&gt; 8944567410 | ISUZU &gt;&gt; 942016007 | ISUZU &gt;&gt; 944128150 | MAZDA &gt;&gt; N23123802 | MAZDA &gt;&gt; 817323802 | MAZDA &gt;&gt; MCAG602 | MAZDA &gt;&gt; 037023802 | MAZDA &gt;&gt; 380872100 | MAZDA &gt;&gt; FE3R14302 | MAZDA &gt;&gt; FEY013Z40 | MAZDA &gt;&gt; FEY014302 | MAZDA &gt;&gt; F80223802 | MAZDA &gt;&gt; 037025802 | MAZDA &gt;&gt; F032802 | MAZDA &gt;&gt; 032414300 | MAZDA &gt;&gt; 081314300 | MAZDA &gt;&gt; Y70114302A | MAZDA &gt;&gt; B6YO14300 | MAZDA &gt;&gt; RFY2143029A | MAZDA &gt;&gt; 037023803 | MAZDA &gt;&gt; RFY214302 | MAZDA &gt;&gt; RFY2143029 | MAZDA &gt;&gt; RF2A14302A | MAZDA &gt;&gt; RF7914302 | MAZDA &gt;&gt; RF0123802 | MAZDA &gt;&gt; RF0123802A9A | MAZDA &gt;&gt; 025913300 | MAZDA &gt;&gt; 15208KA000 | MAZDA &gt;&gt; 8FG1238029A | MITSUBISHI &gt;&gt; MD162326 | MITSUBISHI &gt;&gt; MD352626 | MITSUBISHI &gt;&gt; MD322508 | MITSUBISHI &gt;&gt; MD007095 | MITSUBISHI &gt;&gt; MD031805 | MITSUBISHI &gt;&gt; MD097003 | MITSUBISHI &gt;&gt; MD136790 | MITSUBISHI &gt;&gt; MD071462 | MITSUBISHI &gt;&gt; MD007360 | MITSUBISHI &gt;&gt; MD01445 | MITSUBISHI &gt;&gt; MD030795 | MITSUBISHI &gt;&gt; MD001445 | MITSUBISHI &gt;&gt; K4662010 | MITSUBISHI &gt;&gt; K486201 | MITSUBISHI &gt;&gt; D001450 | MITSUBISHI &gt;&gt; XD00145 | PEUGEOT &gt;&gt; 1109F7 | PEUGEOT &gt;&gt; 1109G5 | ROVER &gt;&gt; GFE282 | SUBARU &gt;&gt; 15208KA010 | SUBARU &gt;&gt; 15208KA000 | HYUNDAI &gt;&gt; 2630035502 | HYUNDAI &gt;&gt; 2630035500 | HYUNDAI &gt;&gt; 2630035501 | HYUNDAI &gt;&gt; 2630021A00 | HYUNDAI &gt;&gt; 2630035056 | AC &gt;&gt; X88 | AC &gt;&gt; PF867 | AC &gt;&gt; PF9 | GENERAL MOTORS &gt;&gt; 649014 | GENERAL MOTORS &gt;&gt; 649010 | GENERAL MOTORS &gt;&gt; 6439354 | GENERAL MOTORS &gt;&gt; 94201942 | GENERAL MOTORS &gt;&gt; 93156956 | GENERAL MOTORS &gt;&gt; 93182630 | GENERAL MOTORS &gt;&gt; 93156667 | GENERAL MOTORS &gt;&gt; 93156769 | GENERAL MOTORS &gt;&gt; 93156214 | GENERAL MOTORS &gt;&gt; 93156093 | JOHN DEERE &gt;&gt; M801002 | JOHN DEERE &gt;&gt; AM101378 | LOTUS &gt;&gt; B100E6085S | CLARK &gt;&gt; 3974113A | INGERSOLL-RAND &gt;&gt; 3974113 | KUBOTA &gt;&gt; 7000043080 | KUBOTA &gt;&gt; 7000015241 | KUBOTA &gt;&gt; 1627132092 | KUBOTA &gt;&gt; 1627132090 | KUBOTA &gt;&gt; 1584132430 | KUBOTA &gt;&gt; 1537287212 | KUBOTA &gt;&gt; 1524132093 | KUBOTA &gt;&gt; 1524132092 | KUBOTA &gt;&gt; 1524132090 | WESTERBEKE &gt;&gt; 36918 | WESTERBEKE &gt;&gt; 30220 | YANMAR &gt;&gt; 12915035151 | YANMAR &gt;&gt; 12915035150 | YANMAR &gt;&gt; 12445035100 | ISEKI &gt;&gt; 566966540000 | MANN-FILTER &gt;&gt; W92025 | MANN-FILTER &gt;&gt; W81780 | MANN-FILTER &gt;&gt; W91413 | MANN-FILTER &gt;&gt; W81480 | MANN-FILTER &gt;&gt; W81580 | MANN-FILTER &gt;&gt; W81180 | MANN-FILTER &gt;&gt; W81299 | MANN-FILTER &gt;&gt; W71218 | BOSCH &gt;&gt; 0986452016 | BOSCH &gt;&gt; 0986AF1064 | BOSCH &gt;&gt; 0986AF1053 | BOSCH &gt;&gt; 0986AF1038 | BOSCH &gt;&gt; 0986AF1034 | BOSCH &gt;&gt; 0986452008 | BOSCH &gt;&gt; 0451103316 | BOSCH &gt;&gt; 0986AF1030 | BOSCH &gt;&gt; 0986452554 | BOSCH &gt;&gt; 0986452354 | BOSCH &gt;&gt; 0986452061 | BOSCH &gt;&gt; 0986452006 | BOSCH &gt;&gt; 0986452059 | BOSCH &gt;&gt; 0986452041 | BOSCH &gt;&gt; F026407077 | BOSCH &gt;&gt; 0986452036 | BOSCH &gt;&gt; 0986452028 | BOSCH &gt;&gt; 0451103364 | BOSCH &gt;&gt; 0986452020 | BOSCH &gt;&gt; 0986B00042 | BOSCH &gt;&gt; 0986B00006 | BOSCH &gt;&gt; 0986B00002 | BOSCH &gt;&gt; 0986B00000 | BOSCH &gt;&gt; 0451103359 | BOSCH &gt;&gt; 0986AF1107 | PURFLUX &gt;&gt; LS705 | PURFLUX &gt;&gt; LS490 | PURFLUX &gt;&gt; LS531 | PURFLUX &gt;&gt; LS489A | MAHLE FILTER &gt;&gt; OC71 | MAHLE FILTER &gt;&gt; OC66 | MAHLE FILTER &gt;&gt; OC277 | MAHLE FILTER &gt;&gt; OC617 | MAHLE FILTER &gt;&gt; OC230 | MAHLE FILTER &gt;&gt; OC205 | MAHLE FILTER &gt;&gt; OC152 | MAHLE FILTER &gt;&gt; OC195 | MAHLE FILTER &gt;&gt; OC115 | MAHLE FILTER &gt;&gt; H0552 | MAHLE FILTER &gt;&gt; CV448 | MAHLE FILTER &gt;&gt; CV461 | MAHLE FILTER &gt;&gt; AW85 | MAHLE FILTER &gt;&gt; AW136 | MAHLE FILTER &gt;&gt; AW100 | CHAMPION &gt;&gt; F208606 | CHAMPION &gt;&gt; F129 | CHAMPION &gt;&gt; F208 | CHAMPION &gt;&gt; F122606 | CHAMPION &gt;&gt; F111606 | CHAMPION &gt;&gt; F110 | CHAMPION &gt;&gt; F111 | CHAMPION &gt;&gt; CR09036 | CHAMPION &gt;&gt; CR07036 | PUROLATOR &gt;&gt; L27535 | PUROLATOR &gt;&gt; L27849 | PUROLATOR &gt;&gt; L14459 | PUROLATOR &gt;&gt; L24458 | PUROLATOR &gt;&gt; PER270 | PUROLATOR &gt;&gt; PER184 | PUROLATOR &gt;&gt; PER159 | HERTH+BUSS JAKOPARTS &gt;&gt; J1317003 | HERTH+BUSS JAKOPARTS &gt;&gt; J1315015 | HERTH+BUSS JAKOPARTS &gt;&gt; J1313002 | QUINTON HAZELL &gt;&gt; WL7254 | QUINTON HAZELL &gt;&gt; WL7248 | QUINTON HAZELL &gt;&gt; WL7196 | QUINTON HAZELL &gt;&gt; WL7200 | QUINTON HAZELL &gt;&gt; WL7171 | QUINTON HAZELL &gt;&gt; WL7164 | QUINTON HAZELL &gt;&gt; WL7134 | QUINTON HAZELL &gt;&gt; WL7108 | QUINTON HAZELL &gt;&gt; WL7083 | QUINTON HAZELL &gt;&gt; WL7103 | QUINTON HAZELL &gt;&gt; WL7107 | QUINTON HAZELL &gt;&gt; WL7091 | QUINTON HAZELL &gt;&gt; WL7081 | FRAM &gt;&gt; PH6811 | FRAM &gt;&gt; PH5317 | FRAM &gt;&gt; PH4998 | FRAM &gt;&gt; PH3950 | FRAM &gt;&gt; PH2921 | HENGST FILTER &gt;&gt; H20W04 | HENGST FILTER &gt;&gt; H20W03 | HENGST FILTER &gt;&gt; H13W01 | HENGST FILTER &gt;&gt; H10W04 | TECNOCAR &gt;&gt; R96 | TECNOCAR &gt;&gt; R925 | TECNOCAR &gt;&gt; R72 | TECNOCAR &gt;&gt; R424 | TECNOCAR &gt;&gt; R352 | SogefiPro &gt;&gt; FT5447 | SogefiPro &gt;&gt; FT5406 | SogefiPro &gt;&gt; FT5407 | SogefiPro &gt;&gt; FT4947 | SogefiPro &gt;&gt; FT5125 | FEBI BILSTEIN &gt;&gt; 32099 | MAPCO &gt;&gt; 61550 | MEYLE &gt;&gt; 6143220000 | P.B.R. &gt;&gt; BC1339 | P.B.R. &gt;&gt; BC1318 | P.B.R. &gt;&gt; BC1151 | CLEAN FILTERS &gt;&gt; DO925A | CLEAN FILTERS &gt;&gt; DO912 | CLEAN FILTERS &gt;&gt; DO854A | CLEAN FILTERS &gt;&gt; DO883 | CLEAN FILTERS &gt;&gt; DO853A | CLEAN FILTERS &gt;&gt; DO828 | CLEAN FILTERS &gt;&gt; DO328 | CLEAN FILTERS &gt;&gt; DO332 | CLEAN FILTERS &gt;&gt; DO327 | CLEAN FILTERS &gt;&gt; DO324 | CLEAN FILTERS &gt;&gt; DO223 | CLEAN FILTERS &gt;&gt; DO289 | CLEAN FILTERS &gt;&gt; DO218 | JAPANPARTS &gt;&gt; FO599S | JAPANPARTS &gt;&gt; FO703S | JAPANPARTS &gt;&gt; FO503S | JAPANPARTS &gt;&gt; FO510S | JAPANPARTS &gt;&gt; FO502S | ALCO FILTER &gt;&gt; SP961 | ALCO FILTER &gt;&gt; SP937 | ALCO FILTER &gt;&gt; SP934 | ALCO FILTER &gt;&gt; SP911 | ALCO FILTER &gt;&gt; SP922 | ALCO FILTER &gt;&gt; SP819 | UFI &gt;&gt; 2348500 | UFI &gt;&gt; 2346100 | UFI &gt;&gt; 2327100 | UFI &gt;&gt; 2324300 | UFI &gt;&gt; 2317700 | UFI &gt;&gt; 2316500 | UFI &gt;&gt; 2313900 | FLEETGUARD &gt;&gt; LF3657 | FLEETGUARD &gt;&gt; LF3462 | FLEETGUARD &gt;&gt; LF3536 | FLEETGUARD &gt;&gt; LF3403 | FLEETGUARD &gt;&gt; LF3336 | DONALDSON &gt;&gt; P550173 | DONALDSON &gt;&gt; P550162 | DONALDSON &gt;&gt; P550158 | MOTORCRAFT &gt;&gt; EFL9027 | MOTORCRAFT &gt;&gt; EFL9030 | MOTORCRAFT &gt;&gt; EFL254 | MOTORCRAFT &gt;&gt; EFL167 | MOTORCRAFT &gt;&gt; EFL129 | MOTORCRAFT &gt;&gt; EFL155 | UNIPART &gt;&gt; GFE282 | UNIPART &gt;&gt; GFE2331 | UNIPART &gt;&gt; GFE233 | UNIPART &gt;&gt; GFE232 | A.P. &gt;&gt; AP3567 | A.P. &gt;&gt; AP1016 | ASHIKA &gt;&gt; 1007703 | ASHIKA &gt;&gt; 1005599 | ASHIKA &gt;&gt; 1005510 | ASHIKA &gt;&gt; 1005503 | ASHIKA &gt;&gt; 1005502 | MEAT &amp; DORIA &gt;&gt; 1513112 | MEAT &amp; DORIA &gt;&gt; 15131 | MEAT &amp; DORIA &gt;&gt; 150961 | MEAT &amp; DORIA &gt;&gt; 15096 | MEAT &amp; DORIA &gt;&gt; 150696 | MEAT &amp; DORIA &gt;&gt; 15069 | MEAT &amp; DORIA &gt;&gt; 1506312 | MEAT &amp; DORIA &gt;&gt; 15063 | MEAT &amp; DORIA &gt;&gt; 15056 | MEAT &amp; DORIA &gt;&gt; 15017 | MEAT &amp; DORIA &gt;&gt; 153183 | NIPPARTS &gt;&gt; J1317003 | NIPPARTS &gt;&gt; J1315025 | NIPPARTS &gt;&gt; J1315015 | NIPPARTS &gt;&gt; J1313002 | KAGER &gt;&gt; 100106 | KAGER &gt;&gt; 100052 | KAGER &gt;&gt; 100045 | KAGER &gt;&gt; 100044 | KAGER &gt;&gt; 100005</t>
  </si>
  <si>
    <t>to construction year &gt;&gt; 12/1987 | Engine Code &gt;&gt; D15A1</t>
  </si>
  <si>
    <t>HONDA &gt;&gt; 15400689004 | HONDA &gt;&gt; 15400689003 | HONDA &gt;&gt; 15400PA6305 | HONDA &gt;&gt; 15400PA6004 | HONDA &gt;&gt; 15400PA6003 | AC &gt;&gt; X84 | GENERAL MOTORS &gt;&gt; 93156201 | MANN-FILTER &gt;&gt; W91414 | MANN-FILTER &gt;&gt; W81581 | BOSCH &gt;&gt; 0986452015 | PURFLUX &gt;&gt; LS718 | MAHLE FILTER &gt;&gt; AW94 | MAHLE FILTER &gt;&gt; OC77 | CHAMPION &gt;&gt; E101 | PUROLATOR &gt;&gt; PER167 | QUINTON HAZELL &gt;&gt; WL7130 | FRAM &gt;&gt; PH3531 | TECNOCAR &gt;&gt; R428 | SogefiPro &gt;&gt; FT4931 | P.B.R. &gt;&gt; BC1146 | CLEAN FILTERS &gt;&gt; DO340 | UFI &gt;&gt; 2318200 | FLEETGUARD &gt;&gt; LF3337 | MOTORCRAFT &gt;&gt; EFL151 | UNIPART &gt;&gt; GFE238 | UNIPART &gt;&gt; GFE165 | A.P. &gt;&gt; AP1192 | KAGER &gt;&gt; 100131</t>
  </si>
  <si>
    <t xml:space="preserve"> &gt;&gt; Screw-on Filter | Thread Size,  &gt;&gt; M20x1,5 | Height 1, mm &gt;&gt; 86,5</t>
  </si>
  <si>
    <t>Engine Code &gt;&gt; D15A1</t>
  </si>
  <si>
    <t>FORD &gt;&gt; E92Z6731A | FORD &gt;&gt; F12Z6731B | FORD &gt;&gt; 5022738 | FORD &gt;&gt; 5027149 | FORD &gt;&gt; 5016958 | FORD &gt;&gt; 3521840 | FORD &gt;&gt; 3891893 | NISSAN &gt;&gt; 1520831U0A | NISSAN &gt;&gt; 1520831U01 | NISSAN &gt;&gt; 1520831U00 | NISSAN &gt;&gt; 1520831U0B | KIA &gt;&gt; K90014300A | KIA &gt;&gt; 0FE3R14302 | KIA &gt;&gt; FE3R14302 | KIA &gt;&gt; OFE3R14302 | KIA &gt;&gt; OJE3R14302 | AC &gt;&gt; PF1222 | FIAT-HITACHI &gt;&gt; 4294838 | AMC &gt;&gt; NO242C | MANN-FILTER &gt;&gt; W6102 | MANN-FILTER &gt;&gt; W6103 | MANN-FILTER &gt;&gt; W81883 | MANN-FILTER &gt;&gt; W61081 | BOSCH &gt;&gt; 0451103359 | BOSCH &gt;&gt; 0986452041 | BOSCH &gt;&gt; 0451103244 | BOSCH &gt;&gt; 0451103111 | BOSCH &gt;&gt; F026407001 | BOSCH &gt;&gt; 0986452036 | BOSCH &gt;&gt; P2036 | BOSCH &gt;&gt; P2041 | BOSCH &gt;&gt; 0451103364 | MAHLE FILTER &gt;&gt; OC194 | CHAMPION &gt;&gt; F116 | CHAMPION &gt;&gt; F107606 | CHAMPION &gt;&gt; F107144 | CHAMPION &gt;&gt; CR17036 | PUROLATOR &gt;&gt; FCO292 | PUROLATOR &gt;&gt; PER292 | PUROLATOR &gt;&gt; PER4458 | PUROLATOR &gt;&gt; PER4620 | PUROLATOR &gt;&gt; PER4001 | PUROLATOR &gt;&gt; L14620 | HERTH+BUSS JAKOPARTS &gt;&gt; J1313015 | HERTH+BUSS JAKOPARTS &gt;&gt; J1311019 | QUINTON HAZELL &gt;&gt; WL7200 | QUINTON HAZELL &gt;&gt; WL7177 | QUINTON HAZELL &gt;&gt; WL7134 | QUINTON HAZELL &gt;&gt; WL7164 | QUINTON HAZELL &gt;&gt; WL7091 | FRAM &gt;&gt; PH5343 | FRAM &gt;&gt; PH7313 | FRAM &gt;&gt; PH4913 | FRAM &gt;&gt; PH5317 | HENGST FILTER &gt;&gt; H97W08 | TECNOCAR &gt;&gt; R215 | TECNOCAR &gt;&gt; R198 | TECNOCAR &gt;&gt; R205 | SogefiPro &gt;&gt; FT5407 | SogefiPro &gt;&gt; FT5405 | SOFIMA &gt;&gt; S3261R | AMC Filter &gt;&gt; NO242C | P.B.R. &gt;&gt; BC1318 | CLEAN FILTERS &gt;&gt; DO854A | CLEAN FILTERS &gt;&gt; DO853A | BALDWIN &gt;&gt; B161S | BALDWIN &gt;&gt; B1401 | COOPERS &gt;&gt; Z916 | COOPERS &gt;&gt; Z193 | COOPERS &gt;&gt; Z1128 | COOPERS &gt;&gt; Z1344 | CROSLAND &gt;&gt; 2112 | CROSLAND &gt;&gt; 2095 | TEHO &gt;&gt; 4311 | TEHO &gt;&gt; OK311 | WIX FILTERS &gt;&gt; 51344 | WIX FILTERS &gt;&gt; 51338 | ALCO FILTER &gt;&gt; SP959 | FILTRON &gt;&gt; OP597 | GUD FILTERS &gt;&gt; Z222 | GUD FILTERS &gt;&gt; Z193 | KOLBENSCHMIDT &gt;&gt; 50013108 | KOLBENSCHMIDT &gt;&gt; 108OS | UFI &gt;&gt; 2326000 | FLEETGUARD &gt;&gt; LF3462 | MOTORCRAFT &gt;&gt; FL821 | MOTORCRAFT &gt;&gt; FL814 | MOTORCRAFT &gt;&gt; EFL487 | MOTORCRAFT &gt;&gt; EFL383 | ACDelco &gt;&gt; PF1222 | PBR &gt;&gt; BC1255 | MEAT &amp; DORIA &gt;&gt; 152023 | MEAT &amp; DORIA &gt;&gt; 15131 | MEAT &amp; DORIA &gt;&gt; 15060 | MEAT &amp; DORIA &gt;&gt; 15017 | MEAT &amp; DORIA &gt;&gt; 153183 | NIPPARTS &gt;&gt; J1313015 | NIPPARTS &gt;&gt; J1313007 | NIPPARTS &gt;&gt; J1311019 | MAHLE ORIGINAL &gt;&gt; 78636318 | FIRST LINE &gt;&gt; FLF536 | COOPERSFIAAM FILTERS &gt;&gt; FT5405</t>
  </si>
  <si>
    <t xml:space="preserve"> &gt;&gt; Screw-on Filter | Thread Size,  &gt;&gt; 3/4`-16UNF-2B</t>
  </si>
  <si>
    <t>CHRYSLER &gt;&gt; 4781452AA | CHRYSLER &gt;&gt; 04781452BB | CHRYSLER &gt;&gt; 4781452BB | CHRYSLER &gt;&gt; 04781452AA | CITROEN &gt;&gt; 5457752 | CITROEN &gt;&gt; 1109P9 | CITROEN &gt;&gt; 1109Q6 | CITROEN &gt;&gt; 1109S9 | FIAT &gt;&gt; 277233 | FIAT &gt;&gt; 83986742 | FIAT &gt;&gt; 7683815 | FIAT &gt;&gt; 507631 | FORD &gt;&gt; 1071746 | FORD &gt;&gt; 1072434 | FORD &gt;&gt; BM5G6714AA | FORD &gt;&gt; A810X6714GA | FORD &gt;&gt; A810X6714HA | FORD &gt;&gt; 1070521 | FORD &gt;&gt; 1070523 | FORD &gt;&gt; 978M6714C3A | FORD &gt;&gt; 97MM6714B1A | FORD &gt;&gt; 978M6714B2A | FORD &gt;&gt; 978M6714B4A | FORD &gt;&gt; 978M6414B4A | FORD &gt;&gt; 978M6714A6A | FORD &gt;&gt; 978M6714B1A | FORD &gt;&gt; 978M6714A2A | FORD &gt;&gt; 1056613 | FORD &gt;&gt; 1066071 | FORD &gt;&gt; 96MM6714A2A | FORD &gt;&gt; 96MM6714B1A | FORD &gt;&gt; YN2G6714B2A | FORD &gt;&gt; 96M6714A1A | FORD &gt;&gt; 96MM6714A1A | FORD &gt;&gt; XS6E6714B1A | FORD &gt;&gt; 928M6714A2A | FORD &gt;&gt; 938M6714A3A | FORD &gt;&gt; 938M6714A4A | FORD &gt;&gt; 938M6714A2A | FORD &gt;&gt; 1043147 | FORD &gt;&gt; 81SM6714AA | FORD &gt;&gt; 1047169 | FORD &gt;&gt; 84BM6714AA | FORD &gt;&gt; 838M6714AA | FORD &gt;&gt; 1714387 | FORD &gt;&gt; 7S7G6714CA | FORD &gt;&gt; 81SM6714A4A | FORD &gt;&gt; 7S7G6714A1A | FORD &gt;&gt; 7S7G6714AA | FORD &gt;&gt; 1663051 | FORD &gt;&gt; 1043143 | FORD &gt;&gt; 77BM6714C2A | FORD &gt;&gt; 1667890 | FORD &gt;&gt; 6937011 | FORD &gt;&gt; 1037678 | FORD &gt;&gt; 1663050 | FORD &gt;&gt; 6937010 | FORD &gt;&gt; 6066096 | FORD &gt;&gt; 6141811 | FORD &gt;&gt; 1026285 | FORD &gt;&gt; 1455760 | FORD &gt;&gt; 6066095 | FORD &gt;&gt; 6066094 | FORD &gt;&gt; 6057166 | FORD &gt;&gt; 6057167 | FORD &gt;&gt; 1119421 | FORD &gt;&gt; 1143677 | FORD &gt;&gt; 5012000 | FORD &gt;&gt; 1007706 | FORD &gt;&gt; 5008722 | FORD &gt;&gt; 5008721 | FORD &gt;&gt; 1007705 | FORD &gt;&gt; 5008719 | FORD &gt;&gt; 5008720 | FORD &gt;&gt; F8CZ6731AA | FORD &gt;&gt; 5008718 | FORD &gt;&gt; 1097077 | FORD &gt;&gt; 4454116 | FORD &gt;&gt; EIEE6714AA | FORD &gt;&gt; E4TZ6731A | FORD &gt;&gt; 3512907 | FORD &gt;&gt; E1EE6714AA | FORD &gt;&gt; E1FZ6731A | FORD &gt;&gt; E4FZ6731A | INTERNATIONAL HARV. &gt;&gt; 3147441R92 | MAZDA &gt;&gt; YF0914302 | MAZDA &gt;&gt; 1E0614302 | MAZDA &gt;&gt; 1E0514302B | MAZDA &gt;&gt; 1E0514302 | MAZDA &gt;&gt; C60114302 | PEUGEOT &gt;&gt; 1109S9 | PEUGEOT &gt;&gt; 1109Q6 | PEUGEOT &gt;&gt; 1109P9 | PEUGEOT &gt;&gt; 1109P0 | ROVER &gt;&gt; XR8E6714AB | ROVER &gt;&gt; XR823395 | ROVER &gt;&gt; XR83332 | ROVER &gt;&gt; XR817215 | ROVER &gt;&gt; XR815347 | ROVER &gt;&gt; XR23395 | VOLVO &gt;&gt; 30777487 | AC &gt;&gt; X4053E | AC &gt;&gt; X18 | AC &gt;&gt; X152 | AC &gt;&gt; PF2191 | JOHN DEERE &gt;&gt; HE1220445 | CATERPILLAR &gt;&gt; 3I1174 | LANDINI &gt;&gt; ELH4135 | ONAN &gt;&gt; 122B323 | FURUKAWA &gt;&gt; 083715 | FURUKAWA &gt;&gt; 600287 | MANN-FILTER &gt;&gt; W71927 | MANN-FILTER &gt;&gt; W7245 | VALEO &gt;&gt; 586030 | BOSCH &gt;&gt; 0451103304 | BOSCH &gt;&gt; 0986B00002 | BOSCH &gt;&gt; 0451103298 | BOSCH &gt;&gt; 0451103251 | BOSCH &gt;&gt; 0451103259 | BOSCH &gt;&gt; P3259 | BOSCH &gt;&gt; P3298 | BOSCH &gt;&gt; O508 | BOSCH &gt;&gt; 0451103363 | BOSCH &gt;&gt; 0451103307SB | BOSCH &gt;&gt; 0451103304SB | BOSCH &gt;&gt; 0451103074 | BOSCH &gt;&gt; 0986B00042 | BOSCH &gt;&gt; 0451103073 | KNECHT &gt;&gt; OC266 | KNECHT &gt;&gt; OC225 | PURFLUX &gt;&gt; LS934 | PURFLUX &gt;&gt; LS907 | PURFLUX &gt;&gt; LS285 | PURFLUX &gt;&gt; LS256 | PURFLUX &gt;&gt; LS248 | MAHLE FILTER &gt;&gt; OC606 | MAHLE FILTER &gt;&gt; OC266 | CHAMPION &gt;&gt; C104 | CHAMPION &gt;&gt; C148 | PUROLATOR &gt;&gt; L27190 | PUROLATOR &gt;&gt; L17767 | QUINTON HAZELL &gt;&gt; WL7459 | QUINTON HAZELL &gt;&gt; WL7189 | QUINTON HAZELL &gt;&gt; WL7077 | QUINTON HAZELL &gt;&gt; WL7074 | FRAM &gt;&gt; PH5803 | FRAM &gt;&gt; PH5713 | FRAM &gt;&gt; PH5550 | FRAM &gt;&gt; PH5484 | FRAM &gt;&gt; PH5439 | FRAM &gt;&gt; PH5210 | FRAM &gt;&gt; PH2964 | FRAM &gt;&gt; PH2966 | FRAM &gt;&gt; PH2926 | FRAM &gt;&gt; PH2884 | FRAM &gt;&gt; PH10044 | CHAMP &gt;&gt; PH561 | HENGST FILTER &gt;&gt; H90W05 | HENGST FILTER &gt;&gt; H90W19 | HENGST FILTER &gt;&gt; H14W23 | HENGST FILTER &gt;&gt; H14W19 | TECNOCAR &gt;&gt; R58 | TECNOCAR &gt;&gt; R362 | TECNOCAR &gt;&gt; R230 | SogefiPro &gt;&gt; FT5914 | SogefiPro &gt;&gt; FT5338 | SogefiPro &gt;&gt; FT5246 | MAPCO &gt;&gt; 61459 | SOFIMA &gt;&gt; S3277R | P.B.R. &gt;&gt; BC1363 | P.B.R. &gt;&gt; BC1270 | CLEAN FILTERS &gt;&gt; DO899 | CLEAN FILTERS &gt;&gt; DO1841 | CLEAN FILTERS &gt;&gt; DO1802 | BALDWIN &gt;&gt; BT223 | COOPERS &gt;&gt; Z1754 | COOPERS &gt;&gt; Z1272 | COOPERS &gt;&gt; Z1247 | COOPERS &gt;&gt; Z1015 | CROSLAND &gt;&gt; 2136 | CROSLAND &gt;&gt; 2126 | LAUTRETTE &gt;&gt; ELH4192 | TEHO &gt;&gt; 4312 | TJ FILTERS &gt;&gt; FB5364 | WIX FILTERS &gt;&gt; WL7459 | JAPANPARTS &gt;&gt; FO913S | ALCO FILTER &gt;&gt; SP977 | ALCO FILTER &gt;&gt; SP964 | ALCO FILTER &gt;&gt; SP1244 | FILTRON &gt;&gt; OP629 | FILTRON &gt;&gt; OP5321 | FILTRON &gt;&gt; OP530 | FILTRON &gt;&gt; OP532 | GUD FILTERS &gt;&gt; Z167 | KOLBENSCHMIDT &gt;&gt; 097OS | KOLBENSCHMIDT &gt;&gt; 510OS | KOLBENSCHMIDT &gt;&gt; 50013510 | KOLBENSCHMIDT &gt;&gt; 50013097 | UFI &gt;&gt; 2344000 | UFI &gt;&gt; 2341600 | UFI &gt;&gt; 2328300 | UFI &gt;&gt; 2327700 | UFI &gt;&gt; 2326700 | MOTORCRAFT &gt;&gt; ELF600 | MOTORCRAFT &gt;&gt; EFL600 | MOTORCRAFT &gt;&gt; EFL2 | MOTORCRAFT &gt;&gt; EFL125 | MOTORCRAFT &gt;&gt; EFL134 | MOTORCRAFT &gt;&gt; EFL106 | MONARK &gt;&gt; 30738046 | MONARK &gt;&gt; 30738045 | MECAFILTER &gt;&gt; ELH4341 | MECAFILTER &gt;&gt; ELH4237 | MECAFILTER &gt;&gt; ELH4192 | MECAFILTER &gt;&gt; ELH4159 | MECAFILTER &gt;&gt; ELH4088 | ACDelco &gt;&gt; X152 | PBR &gt;&gt; BC1270 | ASHIKA &gt;&gt; 1009913 | MEAT &amp; DORIA &gt;&gt; 153108 | KAGER &gt;&gt; 100088 | MAHLE ORIGINAL &gt;&gt; 70381953 | COOPERSFIAAM FILTERS &gt;&gt; FT5338</t>
  </si>
  <si>
    <t>VAICO</t>
  </si>
  <si>
    <t>Height, mm &gt;&gt; 123 | Thread Size,  &gt;&gt; 3/4-16 UNF | Outer Diameter, mm &gt;&gt; 76 |  &gt;&gt; Screw-on Filter |  &gt;&gt; with one anti-return valve | Inner Diameter 1, mm &gt;&gt; 62 | Inner Diameter 2, mm &gt;&gt; 71 | Opening Pressure Bypass Valve, bar &gt;&gt; 1 | for OE No.,  &gt;&gt; 1 047 169</t>
  </si>
  <si>
    <t>FORD &gt;&gt; 938M6714A2A | FORD &gt;&gt; 978M6714B1A | FORD &gt;&gt; 1119421 | FORD &gt;&gt; 1047169 | FORD &gt;&gt; 1043147 | LAND ROVER &gt;&gt; XR815347 | LAND ROVER &gt;&gt; XR817215 | LAND ROVER &gt;&gt; XR23395 | LAND ROVER &gt;&gt; FH1042 | LAND ROVER &gt;&gt; XR823395 | LAND ROVER &gt;&gt; XR83332 | LAND ROVER &gt;&gt; XR8E6714AB | MANN-FILTER &gt;&gt; W71927 | MANN-FILTER &gt;&gt; W7195 | BOSCH &gt;&gt; 0451103259 | KNECHT &gt;&gt; 09666256 | KNECHT &gt;&gt; OC606 | KNECHT &gt;&gt; OC266 | PURFLUX &gt;&gt; LS907 | MAHLE FILTER &gt;&gt; OC606 | MAHLE FILTER &gt;&gt; OC266 | MAHLE FILTER &gt;&gt; 09666264 | PUROLATOR &gt;&gt; L27190 | QUINTON HAZELL &gt;&gt; WL7077 | FRAM &gt;&gt; PH5803 | HENGST FILTER &gt;&gt; H14W23 | DELPHI &gt;&gt; FX0071 | TECNOCAR &gt;&gt; R230 | SogefiPro &gt;&gt; FT5338 | MAGNETI MARELLI &gt;&gt; 152071758761 | MAGNETI MARELLI &gt;&gt; 150180023000 | MAGNETI MARELLI &gt;&gt; 154703819530 | FEBI BILSTEIN &gt;&gt; 27136 | MAPCO &gt;&gt; 61459 | SOFIMA &gt;&gt; S0320R | MEYLE &gt;&gt; 7143220002 | P.B.R. &gt;&gt; BC1270 | CLEAN FILTERS &gt;&gt; DO1802 | WIX FILTERS &gt;&gt; WL7077 | WIX FILTERS &gt;&gt; OP5321 | VAICO &gt;&gt; 250058 | ALCO FILTER &gt;&gt; SP1244 | FILTRON &gt;&gt; OP5321 | UNICO FILTER &gt;&gt; LI712327 | KOLBENSCHMIDT &gt;&gt; 50013097 | UFI &gt;&gt; 2344000 | SWAG &gt;&gt; 50927136 | MECAFILTER &gt;&gt; ELH4341 | ACDelco &gt;&gt; X4019E | SCT Germany &gt;&gt; SM137 | MEAT &amp; DORIA &gt;&gt; 153108 | JP GROUP &gt;&gt; ES3504 | KAGER &gt;&gt; 100088 | TOPRAN &gt;&gt; 300092 | HOFFER &gt;&gt; 153108 | MASTER-SPORT &gt;&gt; 71927OFPCSMS | MASTER-SPORT &gt;&gt; 71927MGOFPCSMS | MAXGEAR &gt;&gt; 260045 | COMLINE &gt;&gt; EOF004 | COOPERSFIAAM FILTERS &gt;&gt; FT5338 | MULLER FILTER &gt;&gt; FO230</t>
  </si>
  <si>
    <t>CLEAN FILTERS</t>
  </si>
  <si>
    <t xml:space="preserve"> &gt;&gt; Screw-on Filter | D1, mm &gt;&gt; 77 | Thread Size,  &gt;&gt; M 22 X 1,5 | Height, mm &gt;&gt; 88</t>
  </si>
  <si>
    <t>CITROEN &gt;&gt; 1109H0 | FORD &gt;&gt; 5007222 | FORD &gt;&gt; 5010965 | HONDA &gt;&gt; 154006890034 | HONDA &gt;&gt; 15400689004 | HONDA &gt;&gt; 15400PA6F01 | HONDA &gt;&gt; 15400PA6405 | HONDA &gt;&gt; 15400PA6010 | HONDA &gt;&gt; 15400PA6305 | HONDA &gt;&gt; 15400PA6005 | HONDA &gt;&gt; 15400689003 | HONDA &gt;&gt; 15400PA6004 | HONDA &gt;&gt; 15400PA6003 | HONDA &gt;&gt; 15000689004 | HONDA &gt;&gt; 15400PA60034 | ISUZU &gt;&gt; 9941523860 | ISUZU &gt;&gt; 8943604181 | PEUGEOT &gt;&gt; 1109H0 | GENERAL MOTORS &gt;&gt; 93156201 | MANN-FILTER &gt;&gt; W81581 | BOSCH &gt;&gt; 0986452015 | KNECHT &gt;&gt; OC77 | PURFLUX &gt;&gt; LS718 | MAHLE FILTER &gt;&gt; OC77 | CHAMPION &gt;&gt; E101 | PUROLATOR &gt;&gt; PER167 | PUROLATOR &gt;&gt; L10291 | QUINTON HAZELL &gt;&gt; QOF5449 | FRAM &gt;&gt; PH3531 | DELPHI &gt;&gt; FX0030 | TECNOCAR &gt;&gt; R428 | SOFIMA &gt;&gt; S8240R | AMC Filter &gt;&gt; HO818 | P.B.R. &gt;&gt; BC1146 | P.B.R. &gt;&gt; BC1022 | BALDWIN &gt;&gt; B156 | COOPERS &gt;&gt; Z155 | CROSLAND &gt;&gt; 369 | TEHO &gt;&gt; 4106 | TJ FILTERS &gt;&gt; FB5449 | WIX FILTERS &gt;&gt; WL7130 | JAPANPARTS &gt;&gt; JFO403 | JAPANPARTS &gt;&gt; JFO402 | ALCO FILTER &gt;&gt; SP904 | FILTRON &gt;&gt; OP571 | UFI &gt;&gt; 2318200 | FLEETGUARD &gt;&gt; LF3337 | DONALDSON &gt;&gt; P559004 | MOTORCRAFT &gt;&gt; EFL151 | UNIPART &gt;&gt; GFE483 | MECAFILTER &gt;&gt; ELH4145 | ACDelco &gt;&gt; X84 | ACDelco &gt;&gt; PF963 | AP &gt;&gt; AP1192 | BLUE PRINT &gt;&gt; ADH22103 | COOPERSFIAAM FILTERS &gt;&gt; FT4931 | MULLER FILTER &gt;&gt; FO428</t>
  </si>
  <si>
    <t>Height, mm &gt;&gt; 80 | Inner Thread, mm &gt;&gt; M22 x 1,5 | Outer Diameter, mm &gt;&gt; 90</t>
  </si>
  <si>
    <t>HONDA &gt;&gt; 15400PA6003 | HONDA &gt;&gt; 15400689405 | HONDA &gt;&gt; 15400689004 | HONDA &gt;&gt; 15400689003 | HONDA &gt;&gt; 15400PA6305 | HONDA &gt;&gt; 15400PA6005 | HONDA &gt;&gt; 15400PA6004 | MANN-FILTER &gt;&gt; W81581 | BOSCH &gt;&gt; 986452015 | PURFLUX &gt;&gt; LS718 | HERTH+BUSS JAKOPARTS &gt;&gt; J1314002 | FRAM &gt;&gt; PH10125 | WIX FILTERS &gt;&gt; WL7130 | JAPANPARTS &gt;&gt; JFO403 | JAPANPARTS &gt;&gt; JFO402S | JAPANPARTS &gt;&gt; JFO402 | JAPANPARTS &gt;&gt; FO402S | FILTRON &gt;&gt; OP571 | KAVO PARTS &gt;&gt; HO818 | ASHIKA &gt;&gt; 1004402 | MAHLE ORIGINAL &gt;&gt; OC77 | BLUE PRINT &gt;&gt; ADH22103 | NPS &gt;&gt; H131A02 | JAPKO &gt;&gt; 10402</t>
  </si>
  <si>
    <t>Height, mm &gt;&gt; 87,5 | Outer Diameter, mm &gt;&gt; 76 | Inner Thread, mm &gt;&gt; M20 x 1,5 | Specification,  &gt;&gt; Thread Depth:9 mm</t>
  </si>
  <si>
    <t>HONDA &gt;&gt; 15400PC6004 | HONDA &gt;&gt; 15400PH1014 | HONDA &gt;&gt; 15400PC6003 | HONDA &gt;&gt; 15400PH1F03 | HONDA &gt;&gt; 15400PH1F02 | HONDA &gt;&gt; 15400PT0000 | HONDA &gt;&gt; 15400PH1F01 | HONDA &gt;&gt; 15400PH1F04 | HONDA &gt;&gt; 15400PH1003 | HONDA &gt;&gt; 15400PH1004 | HONDA &gt;&gt; 15400PR3406 | HONDA &gt;&gt; 15400PR3405 | HONDA &gt;&gt; 15400PR3005 | HONDA &gt;&gt; 15400PR3006 | HONDA &gt;&gt; 15400PK1003 | HONDA &gt;&gt; 15400PC6405 | HONDA &gt;&gt; 15400PR3004 | HONDA &gt;&gt; 15400PR3003 | SUBARU &gt;&gt; 15208AA110 | MANN-FILTER &gt;&gt; W61082 | BOSCH &gt;&gt; F026407104 | PURFLUX &gt;&gt; LS964 | PURFLUX &gt;&gt; LS489A | PURFLUX &gt;&gt; LS705 | PURFLUX &gt;&gt; LS350 | HERTH+BUSS JAKOPARTS &gt;&gt; J1314018 | HERTH+BUSS JAKOPARTS &gt;&gt; J1314010 | FRAM &gt;&gt; PH5317 | FRAM &gt;&gt; PH11297 | FRAM &gt;&gt; PH2849 | FRAM &gt;&gt; DG3950 | WIX FILTERS &gt;&gt; WL7107 | JAPANPARTS &gt;&gt; JFO498S | JAPANPARTS &gt;&gt; JFO410S | JAPANPARTS &gt;&gt; JFO498 | JAPANPARTS &gt;&gt; JFO409 | JAPANPARTS &gt;&gt; JFO406S | JAPANPARTS &gt;&gt; JFO406 | JAPANPARTS &gt;&gt; JFO404 | JAPANPARTS &gt;&gt; FO703S | JAPANPARTS &gt;&gt; FO498S | JAPANPARTS &gt;&gt; FO406S | KAVO PARTS &gt;&gt; MO523 | KAVO PARTS &gt;&gt; MO429 | KAVO PARTS &gt;&gt; HO818 | KAVO PARTS &gt;&gt; HO823 | ASHIKA &gt;&gt; 1007703 | ASHIKA &gt;&gt; 1004498 | MAHLE ORIGINAL &gt;&gt; OC115 | BLUE PRINT &gt;&gt; ADS72105 | BLUE PRINT &gt;&gt; ADS72101 | BLUE PRINT &gt;&gt; ADH22106 | BLUE PRINT &gt;&gt; ADH22104 | BLUE PRINT &gt;&gt; ADH22101 | BLUE PRINT &gt;&gt; ADG02130 | COMLINE &gt;&gt; CHN11532 | COMLINE &gt;&gt; CMB11341 | NPS &gt;&gt; H131A17 | NPS &gt;&gt; H131A12 | JAPKO &gt;&gt; 10703 | JAPKO &gt;&gt; 10498</t>
  </si>
  <si>
    <t>MAHLE ORIGINAL</t>
  </si>
  <si>
    <t>P.B.R.</t>
  </si>
  <si>
    <t>AC &gt;&gt; PF1051 | AC &gt;&gt; X156 | AC &gt;&gt; X169 | AC &gt;&gt; X4001E | AC &gt;&gt; X4114E | AC &gt;&gt; X45 | AC &gt;&gt; X46 | AC &gt;&gt; PF867 | AC &gt;&gt; PF967 | MANN-FILTER &gt;&gt; W6106 | MANN-FILTER &gt;&gt; W67 | MANN-FILTER &gt;&gt; W81480 | MANN-FILTER &gt;&gt; W87 | MANN-FILTER &gt;&gt; W6102 | MANN-FILTER &gt;&gt; W6103 | VALEO &gt;&gt; 586062 | BOSCH &gt;&gt; BOF2036 | BOSCH &gt;&gt; BOF1042 | BOSCH &gt;&gt; 1986452006 | BOSCH &gt;&gt; 986452906 | BOSCH &gt;&gt; P7077 | BOSCH &gt;&gt; 1900026000 | BOSCH &gt;&gt; 9181474042 | BOSCH &gt;&gt; 9181474026 | BOSCH &gt;&gt; OF110 | BOSCH &gt;&gt; F026407077 | BOSCH &gt;&gt; 1986452007 | MAHLE FILTER &gt;&gt; OC617 | MAHLE FILTER &gt;&gt; OC194 | MAHLE FILTER &gt;&gt; OC196 | MAHLE FILTER &gt;&gt; OC1177 | MAHLE FILTER &gt;&gt; OC152 | MAHLE FILTER &gt;&gt; H0557 | CHAMPION &gt;&gt; F302 | CHAMPION &gt;&gt; F208606 | CHAMPION &gt;&gt; F129606 | CHAMPION &gt;&gt; F126606 | CHAMPION &gt;&gt; F123606 | CHAMPION &gt;&gt; F122606 | CHAMPION &gt;&gt; F119606 | CHAMPION &gt;&gt; F110606 | PUROLATOR &gt;&gt; FCO73 | PUROLATOR &gt;&gt; L14459 | PUROLATOR &gt;&gt; L24458 | PUROLATOR &gt;&gt; L27535 | HERTH+BUSS JAKOPARTS &gt;&gt; J1315024 | HERTH+BUSS JAKOPARTS &gt;&gt; J131406 | HERTH+BUSS JAKOPARTS &gt;&gt; J131405 | HERTH+BUSS JAKOPARTS &gt;&gt; J1314018 | HERTH+BUSS JAKOPARTS &gt;&gt; J1314013 | HERTH+BUSS JAKOPARTS &gt;&gt; J1314009 | HERTH+BUSS JAKOPARTS &gt;&gt; J131316 | HERTH+BUSS JAKOPARTS &gt;&gt; J1313015 | HERTH+BUSS JAKOPARTS &gt;&gt; N1317009 | CHAMP &gt;&gt; PH2867 | CHAMP &gt;&gt; PH2808 | CHAMP &gt;&gt; PH2849 | CHAMP &gt;&gt; PH2805 | CHAMP &gt;&gt; OF418 | CHAMP &gt;&gt; LS108 | CHAMP &gt;&gt; LFP5522 | CHAMP &gt;&gt; LS104 | DENSO &gt;&gt; 124006 | HENGST FILTER &gt;&gt; H97W11 | HENGST FILTER &gt;&gt; H97W05 | HENGST FILTER &gt;&gt; H90W25 | HENGST FILTER &gt;&gt; H313W | HENGST FILTER &gt;&gt; H20W04 | DELPHI &gt;&gt; F694 | DELPHI &gt;&gt; F6477 | SOFIMA &gt;&gt; S3485R | SOFIMA &gt;&gt; S3479R | SOFIMA &gt;&gt; S3243R | AMC Filter &gt;&gt; IO3324 | AMC Filter &gt;&gt; HO824 | AMC Filter &gt;&gt; HO823 | CLEAN FILTERS &gt;&gt; DO1823 | CLEAN FILTERS &gt;&gt; FV4610 | CLEAN FILTERS &gt;&gt; FO9226 | WIX FILTERS &gt;&gt; 51356 | WIX FILTERS &gt;&gt; AP628 | WIX FILTERS &gt;&gt; WL7192 | WIX FILTERS &gt;&gt; WL7134 | JAPANPARTS &gt;&gt; FO410S | JAPANPARTS &gt;&gt; JFO508 | JAPANPARTS &gt;&gt; JFO498 | JAPANPARTS &gt;&gt; FO316S | JAPANPARTS &gt;&gt; JFO429 | JAPANPARTS &gt;&gt; JFO410S | JAPANPARTS &gt;&gt; JFO409 | JAPANPARTS &gt;&gt; JFO404 | JAPANPARTS &gt;&gt; JFO316S | JAPANPARTS &gt;&gt; JFO305 | JAPANPARTS &gt;&gt; JFO303 | JAPANPARTS &gt;&gt; JFO302 | JAPANPARTS &gt;&gt; JFO002 | JAPANPARTS &gt;&gt; JFO703 | JAPANPARTS &gt;&gt; FO498S | FILTRON &gt;&gt; OP623 | FILTRON &gt;&gt; OP575 | FILTRON &gt;&gt; OP558 | FILTRON &gt;&gt; OP557 | UFI &gt;&gt; 2326500 | UFI &gt;&gt; 2324300 | MECAFILTER &gt;&gt; H18 | MECAFILTER &gt;&gt; ELH4405 | MECAFILTER &gt;&gt; ELH4255</t>
  </si>
  <si>
    <t>UNIFLUX FILTERS</t>
  </si>
  <si>
    <t>not for article no.,  &gt;&gt; 5753 | Height, mm &gt;&gt; 87 | Height, mm &gt;&gt; 90 | Thread Size,  &gt;&gt; M 20 X 1.5 | Port Thread,  &gt;&gt; M20x1,5 | Outer Diameter, mm &gt;&gt; 66 | Outer Diameter, mm &gt;&gt; 68 |  &gt;&gt; with one anti-return valve | Inner Diameter 1, mm &gt;&gt; 54 | Inner Diameter 1, mm &gt;&gt; 55 | Inner Diameter 2, mm &gt;&gt; 62 | Opening Pressure Bypass Valve, bar &gt;&gt; 1 | Specification,  &gt;&gt; Ex Coopers Z1129 | Recommended Special Tools,  &gt;&gt; LS 6/1</t>
  </si>
  <si>
    <t>HYUNDAI &gt;&gt; 2630002750 | HYUNDAI &gt;&gt; 2630002751 | MANN-FILTER &gt;&gt; W6107 | BOSCH &gt;&gt; F026407025 | KNECHT &gt;&gt; OC521 | HENGST FILTER &gt;&gt; H313W | MAPCO &gt;&gt; 62523 | MEYLE &gt;&gt; 37143220005 | MAHLE ORIGINAL &gt;&gt; OC521 | COOPERSFIAAM FILTERS &gt;&gt; FT5407</t>
  </si>
  <si>
    <t>not for article no.,  &gt;&gt; 6036</t>
  </si>
  <si>
    <t>FORD &gt;&gt; 5007222 | FORD &gt;&gt; 5010965 | HONDA &gt;&gt; 15400689004 | HONDA &gt;&gt; 15400PA6003 | HONDA &gt;&gt; 15400PA6F01 | HONDA &gt;&gt; 15400689003 | HONDA &gt;&gt; 15400PA6305 | HONDA &gt;&gt; 15400PA6010 | HONDA &gt;&gt; 15400PA6004 | HONDA &gt;&gt; 15400PA6005 | ISUZU &gt;&gt; 8943604181 | GENERAL MOTORS &gt;&gt; 93156201 | MANN-FILTER &gt;&gt; W81581 | BOSCH &gt;&gt; 0986452015 | KNECHT &gt;&gt; OC77 | PURFLUX &gt;&gt; LS718 | CHAMPION &gt;&gt; E101606 | HERTH+BUSS JAKOPARTS &gt;&gt; J1314002 | QUINTON HAZELL &gt;&gt; WL7130 | FRAM &gt;&gt; PH3531 | TECNOCAR &gt;&gt; R930 | MAGNETI MARELLI &gt;&gt; 161013140020 | SOFIMA &gt;&gt; S8240R | MEYLE &gt;&gt; 31143220002 | AMC Filter &gt;&gt; HO818 | AMC Filter &gt;&gt; IO343 | P.B.R. &gt;&gt; BC1146 | CLEAN FILTERS &gt;&gt; DO340 | WIX FILTERS &gt;&gt; WL7130 | JAPANPARTS &gt;&gt; FO402S | ALCO FILTER &gt;&gt; SP904 | FILTRON &gt;&gt; OP571 | DENCKERMANN &gt;&gt; A210154 | UFI &gt;&gt; 2318200 | MECAFILTER &gt;&gt; ELH4145 | ACDelco &gt;&gt; X4066E | SCT Germany &gt;&gt; SM167 | ASHIKA &gt;&gt; 1004402 | KAGER &gt;&gt; 100131 | MAHLE ORIGINAL &gt;&gt; OC77 | UNIFLUX FILTERS &gt;&gt; XO42 | COOPERSFIAAM FILTERS &gt;&gt; FT5920 | NPS &gt;&gt; H131A02 | ASHUKI &gt;&gt; H08201 | IPS Parts &gt;&gt; IFL3402 | JAPKO &gt;&gt; 10402 | MULLER FILTER &gt;&gt; FO428</t>
  </si>
  <si>
    <t>COOPERSFIAAM FILTERS</t>
  </si>
  <si>
    <t>Specification,  &gt;&gt; Ex Coopers Z1129 | Outer Diameter, mm &gt;&gt; 68 | Port Thread,  &gt;&gt; M20x1,5 | Height, mm &gt;&gt; 87</t>
  </si>
  <si>
    <t>LOMBARDINI &gt;&gt; 21751131 | CHRYSLER &gt;&gt; L532 | DAIHATSU &gt;&gt; 12455035110 | FORD &gt;&gt; 3252742 | FORD &gt;&gt; 5004388 | FORD &gt;&gt; 5005080 | FORD &gt;&gt; 3396825 | FORD &gt;&gt; 3891893 | FORD &gt;&gt; D276731A | FORD &gt;&gt; D27Z6731A | FORD &gt;&gt; D2P6714AA | FORD &gt;&gt; D2PJ6724AA | FORD &gt;&gt; D2Z6713A | FORD &gt;&gt; D2PJ6714AA | FORD &gt;&gt; A780X6714AA | FORD &gt;&gt; A780X6714MA | FORD &gt;&gt; A780X6714NA | FORD &gt;&gt; 5005629 | FORD &gt;&gt; 5022738 | FORD &gt;&gt; FS0714302B | FORD &gt;&gt; F12Z6731B | FORD &gt;&gt; 5027149 | FORD &gt;&gt; F32Z6731A | HONDA &gt;&gt; 15400PR3315 | HONDA &gt;&gt; 15400PLMA02 | HONDA &gt;&gt; 15400PLC004 | HONDA &gt;&gt; 15400PLMA01 | HONDA &gt;&gt; 15400PLC003 | HONDA &gt;&gt; 15400PK1003 | HONDA &gt;&gt; 15400PH6004 | HONDA &gt;&gt; 15400PH9004 | HONDA &gt;&gt; 15400PH1F04 | HONDA &gt;&gt; 04154PR3E00 | HONDA &gt;&gt; 15400PH1F01 | HONDA &gt;&gt; 15400PH1004 | HONDA &gt;&gt; 15400PH1014 | HONDA &gt;&gt; 15400PC6003 | HONDA &gt;&gt; 15400PC6004 | HONDA &gt;&gt; 15400PH1003 | HONDA &gt;&gt; 15400MJO003 | HONDA &gt;&gt; 15400PC6000 | HONDA &gt;&gt; 15400MJ0003 | HONDA &gt;&gt; 15400679023 | HONDA &gt;&gt; 15400679003 | HONDA &gt;&gt; 15400679005 | HONDA &gt;&gt; 15400679013 | HONDA &gt;&gt; 15400679004 | HONDA &gt;&gt; 15400111003 | HONDA &gt;&gt; 15400611003 | HONDA &gt;&gt; 15400611013 | HONDA &gt;&gt; 15401611033 | HONDA &gt;&gt; 15400579003 | HONDA &gt;&gt; 15410MJ0003 | HONDA &gt;&gt; 15410MB0003 | HONDA &gt;&gt; 1528487211 | HONDA &gt;&gt; 15400RTA004 | HONDA &gt;&gt; 15400RTA003 | HONDA &gt;&gt; 15400RBAF01 | HONDA &gt;&gt; 15220PH1014 | HONDA &gt;&gt; 15400RBAF010MI | HONDA &gt;&gt; 15220PH1004 | HONDA &gt;&gt; 15400RAFT01 | HONDA &gt;&gt; 15400PT1K04 | HONDA &gt;&gt; 15400PT1K01 | HONDA &gt;&gt; 15400PR3810 | IVECO &gt;&gt; J1315026 | IVECO &gt;&gt; J1317003 | IVECO &gt;&gt; J1314012 | IVECO &gt;&gt; J1314013 | IVECO &gt;&gt; J1314018 | IVECO &gt;&gt; J1313015 | IVECO &gt;&gt; J1313016 | IVECO &gt;&gt; J1310500 | IVECO &gt;&gt; J1310507 | IVECO &gt;&gt; J1313002 | IVECO &gt;&gt; J1311019 | LADA &gt;&gt; 21215101200500 | LADA &gt;&gt; 212151012005 | MAZDA &gt;&gt; F032802 | MAZDA &gt;&gt; Y70114302A | MAZDA &gt;&gt; TFY214302 | MAZDA &gt;&gt; RFY2143029 | MAZDA &gt;&gt; RFY2143029A | MAZDA &gt;&gt; RF2A14302A | MAZDA &gt;&gt; RF7914302 | MAZDA &gt;&gt; RFY214302 | MAZDA &gt;&gt; 2630002500 | MAZDA &gt;&gt; N3R114302 | MAZDA &gt;&gt; B6Y014300 | MAZDA &gt;&gt; KL0714302A | MAZDA &gt;&gt; JEY014302 | MAZDA &gt;&gt; JEY0143029A | MAZDA &gt;&gt; JEYO14302 | MAZDA &gt;&gt; JE1514302 | MAZDA &gt;&gt; 8FG1238029 | MAZDA &gt;&gt; 8FG112802 | MAZDA &gt;&gt; FER14302 | MAZDA &gt;&gt; FEY014302A | MITSUBISHI &gt;&gt; 30A4000103 | MITSUBISHI &gt;&gt; 30A4000102 | MITSUBISHI &gt;&gt; 30A4000101 | MITSUBISHI &gt;&gt; 30A4000100 | MITSUBISHI &gt;&gt; MR984204 | MITSUBISHI &gt;&gt; MZ690070T | MITSUBISHI &gt;&gt; MZ690070 | MITSUBISHI &gt;&gt; MD352626 | MITSUBISHI &gt;&gt; MD360935 | MITSUBISHI &gt;&gt; MD352627 | MITSUBISHI &gt;&gt; MD325714 | MITSUBISHI &gt;&gt; MD017440 | MITSUBISHI &gt;&gt; MD135737 | NISSAN &gt;&gt; 1520865F0D | NISSAN &gt;&gt; 1520831U0B | NISSAN &gt;&gt; 1520831U00 | NISSAN &gt;&gt; 1520831F0D | NISSAN &gt;&gt; 152083100B | PEUGEOT &gt;&gt; 1109Q3 | PEUGEOT &gt;&gt; 1109G5 | PEUGEOT &gt;&gt; 1109CG | PEUGEOT &gt;&gt; 1109AC | RENAULT &gt;&gt; 7701348107 | RENAULT &gt;&gt; 7711500014 | ROVER &gt;&gt; VOF1014 | ROVER &gt;&gt; LRF100120 | ROVER &gt;&gt; GFE282 | SUBARU &gt;&gt; 15208AA130 | SUBARU &gt;&gt; 420335500 | SUBARU &gt;&gt; 420335400 | SUBARU &gt;&gt; 380872100 | SUBARU &gt;&gt; SU00300311 | SUBARU &gt;&gt; 880872100 | SUBARU &gt;&gt; 15208AA160 | TOYOTA &gt;&gt; 1560B87309 | TOYOTA &gt;&gt; 156071280 | TOYOTA &gt;&gt; 156071260 | VOLVO &gt;&gt; 308662667 | VOLVO &gt;&gt; 30866266 | VOLVO &gt;&gt; 14523962 | HYUNDAI &gt;&gt; S2630002750 | HYUNDAI &gt;&gt; 2630002751 | HYUNDAI &gt;&gt; 2630002750 | HYUNDAI &gt;&gt; OFE3R14302 | HYUNDAI &gt;&gt; 15400PC6003 | HYUNDAI &gt;&gt; K90014300A | HYUNDAI &gt;&gt; 817323802 | HYUNDAI &gt;&gt; 0JE1514302 | HYUNDAI &gt;&gt; 0FE3R14302 | ROVER/AUSTIN &gt;&gt; FH1003 | ROVER/AUSTIN &gt;&gt; FH1058 | AC &gt;&gt; X46 | AC &gt;&gt; X56 | AC &gt;&gt; X169 | AC &gt;&gt; X4114E | AC &gt;&gt; X45 | AC &gt;&gt; X4001E | AC &gt;&gt; X119 | AC &gt;&gt; X156 | AC &gt;&gt; X118 | AC &gt;&gt; PF867 | AC &gt;&gt; PF967 | AC &gt;&gt; PF1051 | CASE IH &gt;&gt; VA30A4000103 | HITACHI &gt;&gt; 4294841 | HITACHI &gt;&gt; MD135737 | MASSEY FERGUSON &gt;&gt; 1039891 | MASSEY FERGUSON &gt;&gt; 947941 | GENERAL MOTORS &gt;&gt; VOF156 | GENERAL MOTORS &gt;&gt; 944128150 | GENERAL MOTORS &gt;&gt; 94455103 | GENERAL MOTORS &gt;&gt; 94314263 | GENERAL MOTORS &gt;&gt; 94412815 | GENERAL MOTORS &gt;&gt; 93156769 | GENERAL MOTORS &gt;&gt; 93182630 | GENERAL MOTORS &gt;&gt; 91151708 | GENERAL MOTORS &gt;&gt; 91151707 | GENERAL MOTORS &gt;&gt; JEY014302 | GENERAL MOTORS &gt;&gt; 90541163 | GENERAL MOTORS &gt;&gt; 90541162 | GENERAL MOTORS &gt;&gt; 90485456 | GENERAL MOTORS &gt;&gt; 90485457 | GENERAL MOTORS &gt;&gt; 8944128150 | GENERAL MOTORS &gt;&gt; 8944597000 | GENERAL MOTORS &gt;&gt; 8943687270 | GENERAL MOTORS &gt;&gt; 8943687200 | GENERAL MOTORS &gt;&gt; 8943142632 | GENERAL MOTORS &gt;&gt; 831567509 | GENERAL MOTORS &gt;&gt; 649014 | GENERAL MOTORS &gt;&gt; 649013 | GENERAL MOTORS &gt;&gt; 649012 | GENERAL MOTORS &gt;&gt; 649011 | GENERAL MOTORS &gt;&gt; 649010 | GENERAL MOTORS &gt;&gt; 649008 | GENERAL MOTORS &gt;&gt; 649006 | GENERAL MOTORS &gt;&gt; 6439518 | GENERAL MOTORS &gt;&gt; 5650301 | PROTON &gt;&gt; PW510253 | ASIA MOTORS &gt;&gt; OFE3R14302 | ASIA MOTORS &gt;&gt; K90014300A | HYSTER &gt;&gt; 324692 | KOMATSU &gt;&gt; YM12915035151 | KOMATSU &gt;&gt; YM11966035150 | KUBOTA &gt;&gt; 16271329090 | KUBOTA &gt;&gt; 162713290 | KUBOTA &gt;&gt; 1627132090 | KUBOTA &gt;&gt; HH16032093 | YANMAR &gt;&gt; 12445035110 | YANMAR &gt;&gt; 11900535100 | ISEKI &gt;&gt; 565004093650 | MANN-FILTER &gt;&gt; W81899 | MANN-FILTER &gt;&gt; W87 | MANN-FILTER &gt;&gt; W7199 | MANN-FILTER &gt;&gt; W81780 | MANN-FILTER &gt;&gt; W81883 | MANN-FILTER &gt;&gt; W81480 | MANN-FILTER &gt;&gt; W6107 | MANN-FILTER &gt;&gt; W67 | MANN-FILTER &gt;&gt; W71218 | MANN-FILTER &gt;&gt; W61082 | MANN-FILTER &gt;&gt; W6103 | MANN-FILTER &gt;&gt; W6106 | MANN-FILTER &gt;&gt; W6102 | MANN-FILTER &gt;&gt; MW810 | VALEO &gt;&gt; 586062 | BOSCH &gt;&gt; F026407077 | BOSCH &gt;&gt; F026407025 | BOSCH &gt;&gt; 0986452906 | BOSCH &gt;&gt; P7025 | BOSCH &gt;&gt; P7077 | BOSCH &gt;&gt; P3372 | BOSCH &gt;&gt; P2007 | BOSCH &gt;&gt; P2036 | BOSCH &gt;&gt; P2006 | BOSCH &gt;&gt; OF110 | BOSCH &gt;&gt; 0986452059 | BOSCH &gt;&gt; BOF2036 | BOSCH &gt;&gt; BOF1042 | BOSCH &gt;&gt; 0986452006 | BOSCH &gt;&gt; 0451103372 | BOSCH &gt;&gt; 0986452036 | BOSCH &gt;&gt; 986452906 | BOSCH &gt;&gt; 9181474026 | BOSCH &gt;&gt; 9181474042 | BOSCH &gt;&gt; 1986452007 | BOSCH &gt;&gt; 1986452006 | BOSCH &gt;&gt; 1900026000 | BOSCH &gt;&gt; 0986452007 | PURFLUX &gt;&gt; LS225 | PURFLUX &gt;&gt; LS350 | PURFLUX &gt;&gt; LS705 | PURFLUX &gt;&gt; LS287 | PURFLUX &gt;&gt; LS207 | MAHLE FILTER &gt;&gt; CV443 | MAHLE FILTER &gt;&gt; OC196 | MAHLE FILTER &gt;&gt; OC521 | MAHLE FILTER &gt;&gt; OC617 | MAHLE FILTER &gt;&gt; OC495 | MAHLE FILTER &gt;&gt; OC115 | MAHLE FILTER &gt;&gt; OC1177 | MAHLE FILTER &gt;&gt; OC194 | MAHLE FILTER &gt;&gt; AW36 | MAHLE FILTER &gt;&gt; AW207 | MAHLE FILTER &gt;&gt; AW33 | MAHLE FILTER &gt;&gt; H0557 | CHAMPION &gt;&gt; F119606 | CHAMPION &gt;&gt; F110606 | CHAMPION &gt;&gt; F302 | CHAMPION &gt;&gt; F208606 | CHAMPION &gt;&gt; F126606 | CHAMPION &gt;&gt; F123606 | CHAMPION &gt;&gt; F122606 | PUROLATOR &gt;&gt; PER73 | PUROLATOR &gt;&gt; PER4459 | PUROLATOR &gt;&gt; PER4620 | PUROLATOR &gt;&gt; PC239 | PUROLATOR &gt;&gt; L17693 | PUROLATOR &gt;&gt; L14620 | PUROLATOR &gt;&gt; L14622 | PUROLATOR &gt;&gt; FCO73 | HERTH+BUSS JAKOPARTS &gt;&gt; N1317009 | HERTH+BUSS JAKOPARTS &gt;&gt; J1315026 | HERTH+BUSS JAKOPARTS &gt;&gt; J1315024 | HERTH+BUSS JAKOPARTS &gt;&gt; J131406 | HERTH+BUSS JAKOPARTS &gt;&gt; J131405 | HERTH+BUSS JAKOPARTS &gt;&gt; J1314018 | HERTH+BUSS JAKOPARTS &gt;&gt; J1314013 | HERTH+BUSS JAKOPARTS &gt;&gt; J1314009 | HERTH+BUSS JAKOPARTS &gt;&gt; J131316 | HERTH+BUSS JAKOPARTS &gt;&gt; J131315 | HERTH+BUSS JAKOPARTS &gt;&gt; J131302 | HERTH+BUSS JAKOPARTS &gt;&gt; J1313016 | HERTH+BUSS JAKOPARTS &gt;&gt; J1313015 | HERTH+BUSS JAKOPARTS &gt;&gt; J131301 | QUINTON HAZELL &gt;&gt; QOF5490 | FRAM &gt;&gt; PH5343 | FRAM &gt;&gt; PH3917 | FRAM &gt;&gt; PH5317 | FRAM &gt;&gt; PH3593A | FRAM &gt;&gt; PH2871 | FRAM &gt;&gt; PH2849 | CHAMP &gt;&gt; PH2868 | CHAMP &gt;&gt; PH2867 | CHAMP &gt;&gt; PH2849 | CHAMP &gt;&gt; PH2808 | CHAMP &gt;&gt; PH2805 | CHAMP &gt;&gt; OF418 | CHAMP &gt;&gt; LS108 | CHAMP &gt;&gt; LS104 | CHAMP &gt;&gt; LFP5522 | DENSO &gt;&gt; 124006 | HENGST FILTER &gt;&gt; H97W11 | HENGST FILTER &gt;&gt; H97W05 | HENGST FILTER &gt;&gt; H97W02 | HENGST FILTER &gt;&gt; H313W | HENGST FILTER &gt;&gt; H90W25 | HENGST FILTER &gt;&gt; H20W04 | DELPHI &gt;&gt; F694 | DELPHI &gt;&gt; F6477 | TECNOCAR &gt;&gt; R511 | TECNOCAR &gt;&gt; R198 | SogefiPro &gt;&gt; FT5407 | SogefiPro &gt;&gt; FT5405 | SogefiPro &gt;&gt; FT4908 | SogefiPro &gt;&gt; FT4907 | SogefiPro &gt;&gt; FT408EC | DOYEN &gt;&gt; DOF4907 | DOYEN &gt;&gt; DOF4904 | DOYEN &gt;&gt; DOF4900 | DOYEN &gt;&gt; DOF3402 | SOFIMA &gt;&gt; S6901R | SOFIMA &gt;&gt; S3479R | SOFIMA &gt;&gt; S3485R | SOFIMA &gt;&gt; S3261R | SOFIMA &gt;&gt; S3265R | SOFIMA &gt;&gt; S3243R | AMC Filter &gt;&gt; NO242C | AMC Filter &gt;&gt; MO511 | AMC Filter &gt;&gt; MO429 | AMC Filter &gt;&gt; IO3324 | AMC Filter &gt;&gt; HO824 | AMC Filter &gt;&gt; HO823 | P.B.R. &gt;&gt; BC1377 | P.B.R. &gt;&gt; BC1318 | P.B.R. &gt;&gt; BC1088 | CLEAN FILTERS &gt;&gt; DO925A | CLEAN FILTERS &gt;&gt; DO925 | CLEAN FILTERS &gt;&gt; DO912 | CLEAN FILTERS &gt;&gt; DO853 | CLEAN FILTERS &gt;&gt; DO828 | CLEAN FILTERS &gt;&gt; DO324 | CLEAN FILTERS &gt;&gt; DO289 | CLEAN FILTERS &gt;&gt; DO1823 | CLEAN FILTERS &gt;&gt; FV4610 | CLEAN FILTERS &gt;&gt; FO9226 | ALCO (ZYPERN) &gt;&gt; SP959 | ALCO (ZYPERN) &gt;&gt; SP937 | ALCO (ZYPERN) &gt;&gt; SP934 | ALCO (ZYPERN) &gt;&gt; SP911 | ALCO (ZYPERN) &gt;&gt; SP873 | ALCO (ZYPERN) &gt;&gt; SP819 | ALCO (ZYPERN) &gt;&gt; SP1001 | BALDWIN &gt;&gt; B199 | BALDWIN &gt;&gt; B161 | BALDWIN &gt;&gt; B1402 | BALDWIN &gt;&gt; B1401 | COOPERS &gt;&gt; Z920 | COOPERS &gt;&gt; Z1129 | COOPERS &gt;&gt; Z1128 | CROSLAND &gt;&gt; 310 | CROSLAND &gt;&gt; 2163 | CROSLAND &gt;&gt; 2162 | CROSLAND &gt;&gt; 2145 | CROSLAND &gt;&gt; 2142 | CROSLAND &gt;&gt; 2141 | CROSLAND &gt;&gt; 2123 | CROSLAND &gt;&gt; 2112 | CROSLAND &gt;&gt; 2095 | CROSLAND &gt;&gt; 2071 | CROSLAND &gt;&gt; 2065 | CROSLAND &gt;&gt; 2025 | CROSLAND &gt;&gt; 672 | CROSLAND &gt;&gt; 662 | CROSLAND &gt;&gt; 636 | TEHO &gt;&gt; 4311 | TEHO &gt;&gt; 4304 | TEHO &gt;&gt; 4187 | TEHO &gt;&gt; 4060 | TEHO &gt;&gt; 4025 | TEHO &gt;&gt; OK25 | TEHO &gt;&gt; OK60 | THERMO KING &gt;&gt; 114928 | WIX FILTERS &gt;&gt; WL7192 | WIX FILTERS &gt;&gt; WL7107 | WIX FILTERS &gt;&gt; WL7134 | WIX FILTERS &gt;&gt; WL7081 | WIX FILTERS &gt;&gt; AP628 | WIX FILTERS &gt;&gt; 51356 | WIX FILTERS &gt;&gt; 51344 | WIX FILTERS &gt;&gt; 51338 | WIX FILTERS &gt;&gt; 51334 | WIX FILTERS &gt;&gt; 51064 | WOODGATE &gt;&gt; WGL716 | WOODGATE &gt;&gt; WGL3369 | WOODGATE &gt;&gt; WGL3644 | JAPANPARTS &gt;&gt; JFO703 | JAPANPARTS &gt;&gt; JFO599 | JAPANPARTS &gt;&gt; JFO510 | JAPANPARTS &gt;&gt; JFO508 | JAPANPARTS &gt;&gt; JFO498 | JAPANPARTS &gt;&gt; JFO429 | JAPANPARTS &gt;&gt; JFO410S | JAPANPARTS &gt;&gt; JFO409 | JAPANPARTS &gt;&gt; JFO406 | JAPANPARTS &gt;&gt; JFO404 | JAPANPARTS &gt;&gt; JFO393 | JAPANPARTS &gt;&gt; JFO316S | JAPANPARTS &gt;&gt; JFO316 | JAPANPARTS &gt;&gt; JFO315 | JAPANPARTS &gt;&gt; JFO305 | JAPANPARTS &gt;&gt; JFO303 | JAPANPARTS &gt;&gt; JFO302 | JAPANPARTS &gt;&gt; JFO301 | JAPANPARTS &gt;&gt; JFO002 | JAPANPARTS &gt;&gt; FOM01S | JAPANPARTS &gt;&gt; FO498S | JAPANPARTS &gt;&gt; FO410S | JAPANPARTS &gt;&gt; FO316S | JAPANPARTS &gt;&gt; FO198S | FILTRON &gt;&gt; OP623 | FILTRON &gt;&gt; OP575 | FILTRON &gt;&gt; OP598 | FILTRON &gt;&gt; OP557 | FILTRON &gt;&gt; OP558 | UNICO FILTER &gt;&gt; LI89280 | VIC &gt;&gt; C805C | VIC &gt;&gt; C805 | VIC &gt;&gt; C415 | VIC &gt;&gt; C407 | VIC &gt;&gt; C406N | VIC &gt;&gt; C406C | VIC &gt;&gt; C406 | VIC &gt;&gt; C403 | VIC &gt;&gt; C401 | VIC &gt;&gt; C364 | VIC &gt;&gt; O403 | VIC &gt;&gt; C304 | VIC &gt;&gt; C302 | UFI &gt;&gt; 2327100 | UFI &gt;&gt; 2326500 | UFI &gt;&gt; 2326000 | UFI &gt;&gt; 2324300 | UFI &gt;&gt; 2313300 | FLEETGUARD &gt;&gt; LF3691 | FLEETGUARD &gt;&gt; LF3644 | FLEETGUARD &gt;&gt; LF3403 | DONALDSON &gt;&gt; P779164 | DONALDSON &gt;&gt; P550162 | DONALDSON &gt;&gt; P502057 | DONALDSON &gt;&gt; P502009 | DONALDSON &gt;&gt; P502051 | DONALDSON &gt;&gt; P502007 | MOTORCRAFT &gt;&gt; EFL487 | MOTORCRAFT &gt;&gt; EFL383 | MOTORCRAFT &gt;&gt; EFL364 | MOTORCRAFT &gt;&gt; EFL361 | MOTORCRAFT &gt;&gt; EFL320 | MOTORCRAFT &gt;&gt; EFL319 | MOTORCRAFT &gt;&gt; EFL314 | MOTORCRAFT &gt;&gt; EFL296 | MOTORCRAFT &gt;&gt; EFL130 | MOTORCRAFT &gt;&gt; EFL129 | MOTORCRAFT &gt;&gt; EFL091 | MOTORCRAFT &gt;&gt; FL822 | MOTORCRAFT &gt;&gt; FL295DP | MOTORCRAFT &gt;&gt; FL295 | UNIPART &gt;&gt; GFE37 | UNIPART &gt;&gt; GFE321 | UNIPART &gt;&gt; GFE305 | UNIPART &gt;&gt; GFE232 | UNIPART &gt;&gt; GFE228 | A.P. &gt;&gt; CA169 | A.P. &gt;&gt; CA167 | A.P. &gt;&gt; LK1080 | MECAFILTER &gt;&gt; ELH4405 | MECAFILTER &gt;&gt; ELH4233 | MECAFILTER &gt;&gt; ELH4169 | MECAFILTER &gt;&gt; ELH4168 | MECAFILTER &gt;&gt; ELH4143 | MECAFILTER &gt;&gt; ELH4119 | MECAFILTER &gt;&gt; H18 | ASHIKA &gt;&gt; 10M0001 | ASHIKA &gt;&gt; 100H005 | ASHIKA &gt;&gt; 1004498 | ASHIKA &gt;&gt; 1004410 | ASHIKA &gt;&gt; 1001198 | COOPERSFIAAM FILTERS &gt;&gt; FT5407 | COOPERSFIAAM FILTERS &gt;&gt; FT5405 | COOPERSFIAAM FILTERS &gt;&gt; FT4908 | UNION &gt;&gt; C532 | UNION &gt;&gt; C414 | UNION &gt;&gt; C413 | UNION &gt;&gt; C411 | UNION &gt;&gt; C410 | UNION &gt;&gt; C331</t>
  </si>
  <si>
    <t>Height, mm &gt;&gt; 80 | Weight, kg &gt;&gt; 0,430 | Inner Thread, mm &gt;&gt; M22 x 1,5 |  &gt;&gt; Screw-on Filter | Quantity required,  &gt;&gt; 1 | Outer Diameter, mm &gt;&gt; 90</t>
  </si>
  <si>
    <t>HONDA &gt;&gt; 07021272MAHLE | HONDA &gt;&gt; 0986AF1008BOSCH | HONDA &gt;&gt; J1314002HBJAKOPA | HONDA &gt;&gt; LS718PURFLUX | HONDA &gt;&gt; 1004402ASHIKA | HONDA &gt;&gt; HO818AMC | HONDA &gt;&gt; 0986452015BOSCH | HONDA &gt;&gt; 15400PA6004 | HONDA &gt;&gt; 15400PA6305 | HONDA &gt;&gt; 15400PA6F01 | HONDA &gt;&gt; FT4931FIAAM | HONDA &gt;&gt; 15400PA6005 | HONDA &gt;&gt; FO402SJAPANPARTS | HONDA &gt;&gt; 0986AF1095BOSCH | HONDA &gt;&gt; 15400689405 | HONDA &gt;&gt; 15400PA6003 | HONDA &gt;&gt; W81581MANNHUMMEL | HONDA &gt;&gt; 15400689003 | HONDA &gt;&gt; 15400689004 | HONDA &gt;&gt; PH3531FRAM | MANN-FILTER &gt;&gt; W81581 | VALEO &gt;&gt; 586110 | BOSCH &gt;&gt; 0986AF1095 | BOSCH &gt;&gt; 0986452015 | BOSCH &gt;&gt; 0986AF1008 | KNECHT &gt;&gt; OC77 | PURFLUX &gt;&gt; LS718 | MAHLE FILTER &gt;&gt; OC77 | PUROLATOR &gt;&gt; L10291 | HERTH+BUSS JAKOPARTS &gt;&gt; J1314002 | QUINTON HAZELL &gt;&gt; QFL0199 | FRAM &gt;&gt; PH3531 | DELPHI &gt;&gt; FX0030 | TECNOCAR &gt;&gt; R930 | MAGNETI MARELLI &gt;&gt; 150180042800 | MAGNETI MARELLI &gt;&gt; 161013140020 | MAGNETI MARELLI &gt;&gt; 154070212720 | DOYEN &gt;&gt; DOF3400 | SOFIMA &gt;&gt; S8240R | AMC Filter &gt;&gt; HO818 | CLEAN FILTERS &gt;&gt; DO340 | COOPERS &gt;&gt; FT5920 | COOPERS &gt;&gt; Z155 | CROSLAND &gt;&gt; 369 | TJ FILTERS &gt;&gt; FB5449 | WIX FILTERS &gt;&gt; WL7130 | JAPANPARTS &gt;&gt; JFO403 | JAPANPARTS &gt;&gt; JFO402 | JAPANPARTS &gt;&gt; JFO402S | JAPANPARTS &gt;&gt; FO402S | ALCO FILTER &gt;&gt; SP904 | FILTRON &gt;&gt; OP571 | DENCKERMANN &gt;&gt; A210154 | VIC &gt;&gt; C804 | KAVO PARTS &gt;&gt; HO818 | UFI &gt;&gt; 2318200 | UNIPART &gt;&gt; GFE192 | DAIICHI &gt;&gt; PC804 | MECAFILTER &gt;&gt; ELH4145 | ACDelco &gt;&gt; X84 | SCT Germany &gt;&gt; SM167 | PBR &gt;&gt; BC1146 | ASHIKA &gt;&gt; 1004402 | NIPPARTS &gt;&gt; J1314002 | MGA &gt;&gt; FH1154 | JP GROUP &gt;&gt; 1218502609 | KAGER &gt;&gt; 100131 | MAHLE ORIGINAL &gt;&gt; OC77 | BLUE PRINT &gt;&gt; ADH22103 | SOLID AUTO (UK) &gt;&gt; H102002 | COMLINE &gt;&gt; CHN11551 | COOPERSFIAAM FILTERS &gt;&gt; FT4931 | MOTAQUIP &gt;&gt; VFL156 | NPS &gt;&gt; H131A02 | ASHUKI &gt;&gt; 03932004 | IPS Parts &gt;&gt; IFL3402 | JAPKO &gt;&gt; 10402 | MULLER FILTER &gt;&gt; FO428 | KAISHIN &gt;&gt; C804 | QH Talbros &gt;&gt; WL7130</t>
  </si>
  <si>
    <t>KOSHIMO</t>
  </si>
  <si>
    <t>Height, mm &gt;&gt; 103 | Outer Diameter, mm &gt;&gt; 80 | Thread Size,  &gt;&gt; M20x1,5 |  &gt;&gt; with one anti-return valve</t>
  </si>
  <si>
    <t>FORD &gt;&gt; 3252676 | FORD &gt;&gt; 3255958 | FORD &gt;&gt; 5005079 | FORD &gt;&gt; 5018026 | FORD &gt;&gt; 5022798 | FORD &gt;&gt; 5020028 | FORD &gt;&gt; 5005080 | FORD &gt;&gt; 5016963 | FORD &gt;&gt; 5016964 | FORD &gt;&gt; 3256521 | FORD &gt;&gt; 5003455 | FORD &gt;&gt; 5003456 | FORD &gt;&gt; 5004388 | HONDA &gt;&gt; 15400679013 | HONDA &gt;&gt; 15200PH1004 | HONDA &gt;&gt; 15400P0H305 | HONDA &gt;&gt; 15400MJ0003 | HONDA &gt;&gt; 15400RBAF01 | HONDA &gt;&gt; 15400PR3004 | HONDA &gt;&gt; 15400PH9004 | HONDA &gt;&gt; 15400679023 | HONDA &gt;&gt; 15400PR3003 | HONDA &gt;&gt; 15400PLC003 | HONDA &gt;&gt; 15400PK1003 | HONDA &gt;&gt; 15400PH1F03 | HONDA &gt;&gt; 15400679004 | HONDA &gt;&gt; 15400PH1F02 | HONDA &gt;&gt; 15400PH1F01 | HONDA &gt;&gt; 15400PH1014 | HONDA &gt;&gt; 15400679003 | HONDA &gt;&gt; 15400PH1004 | HONDA &gt;&gt; 04154PR3E00 | HONDA &gt;&gt; 15400611003 | HONDA &gt;&gt; 15400PH1003 | HONDA &gt;&gt; 15400PC6003 | HONDA &gt;&gt; 15400PC6004 | HONDA &gt;&gt; 15220PH1014 | ISUZU &gt;&gt; 94412815 | ISUZU &gt;&gt; 8944597000 | ISUZU &gt;&gt; 8944567411 | ISUZU &gt;&gt; 8944567410 | ISUZU &gt;&gt; 8944304110 | ISUZU &gt;&gt; 89425111011 | ISUZU &gt;&gt; 8941494180 | ISUZU &gt;&gt; 8942019420 | ISUZU &gt;&gt; 8941357411 | MAZDA &gt;&gt; B6Y014302 | MAZDA &gt;&gt; AM0114300 | MAZDA &gt;&gt; RF7914302 | MAZDA &gt;&gt; RF2A14302A | MITSUBISHI &gt;&gt; MM409365 | OPEL &gt;&gt; 649011 | OPEL &gt;&gt; 649006 | SUBARU &gt;&gt; 308872100 | HYUNDAI &gt;&gt; 2630035A00 | MANN-FILTER &gt;&gt; W81480 | BOSCH &gt;&gt; 1986452007 | BOSCH &gt;&gt; 1986452006 | BOSCH &gt;&gt; 0986452059 | BOSCH &gt;&gt; 0986452907 | BOSCH &gt;&gt; 0986452906 | BOSCH &gt;&gt; 0986452554 | BOSCH &gt;&gt; 0986452036 | PURFLUX &gt;&gt; LS350 | MAHLE FILTER &gt;&gt; OC115 | FRAM &gt;&gt; PH3593A | HENGST FILTER &gt;&gt; H90W25 | WIX FILTERS &gt;&gt; WL7081 | HENGSTENBERG &gt;&gt; H90W25 | PBR &gt;&gt; BC1318</t>
  </si>
  <si>
    <t>Air Filter</t>
  </si>
  <si>
    <t>Height, mm &gt;&gt; 41,5 | Inner Diameter, mm &gt;&gt; 199 | Outer Diameter, mm &gt;&gt; 257 |  &gt;&gt; Filter Insert</t>
  </si>
  <si>
    <t>HONDA &gt;&gt; 17220PEO003 | MANN-FILTER &gt;&gt; C2747 | BOSCH &gt;&gt; 1457429043 | KNECHT &gt;&gt; LX445 | PURFLUX &gt;&gt; A824 | MAHLE FILTER &gt;&gt; LX445 | PUROLATOR &gt;&gt; A44327 | FRAM &gt;&gt; CA4958 | TECNOCAR &gt;&gt; A254 | SogefiPro &gt;&gt; FL6737 | CLEAN FILTERS &gt;&gt; MA672 | COOPERS &gt;&gt; AG790 | CROSLAND &gt;&gt; 9098 | LAUTRETTE &gt;&gt; EL3557 | TJ FILTERS &gt;&gt; B246 | ALCO FILTER &gt;&gt; MD420 | VIC &gt;&gt; A942 | UNIPART &gt;&gt; GFE1115 | MECAFILTER &gt;&gt; EL3557 | ACDelco &gt;&gt; PC492</t>
  </si>
  <si>
    <t>Air Supply</t>
  </si>
  <si>
    <t>Air</t>
  </si>
  <si>
    <t xml:space="preserve"> &gt;&gt; Filter Insert | Width, mm &gt;&gt; 139 | Total Length, mm &gt;&gt; 230 | Height, mm &gt;&gt; 37 | Height 1, mm &gt;&gt; 37</t>
  </si>
  <si>
    <t>HONDA &gt;&gt; 17220PE2305 | HONDA &gt;&gt; 17220PE2020 | HONDA &gt;&gt; 17220PE2010 | HONDA &gt;&gt; 17220PE2000 | HONDA &gt;&gt; 17220PE2306 | PURFLUX &gt;&gt; A833 | CHAMPION &gt;&gt; U594 | PUROLATOR &gt;&gt; AF3576 | PUROLATOR &gt;&gt; A13576 | HERTH+BUSS JAKOPARTS &gt;&gt; J1324007 | FRAM &gt;&gt; CA4381 | SogefiPro &gt;&gt; PA7083 | AMC Filter &gt;&gt; HA878 | BALDWIN &gt;&gt; PA2203 | COOPERS &gt;&gt; AG1049 | CROSLAND &gt;&gt; 9127 | WIX FILTERS &gt;&gt; 46149 | FILTRON &gt;&gt; AP119 | UFI &gt;&gt; 3024000 | ACDelco &gt;&gt; A1198C | NIPPARTS &gt;&gt; J1324007 | FIRST LINE &gt;&gt; FAF389</t>
  </si>
  <si>
    <t>HONDA &gt;&gt; 17220PEO003 | BOSCH &gt;&gt; 1457429043 | KNECHT &gt;&gt; LX445 | PURFLUX &gt;&gt; A824 | MAHLE FILTER &gt;&gt; LX445 | PUROLATOR &gt;&gt; A44327 | FRAM &gt;&gt; CA4958 | TECNOCAR &gt;&gt; A254 | SogefiPro &gt;&gt; FL6737 | CLEAN FILTERS &gt;&gt; MA672 | COOPERS &gt;&gt; AG790 | CROSLAND &gt;&gt; 9098 | LAUTRETTE &gt;&gt; EL3557 | TJ FILTERS &gt;&gt; B246 | ALCO FILTER &gt;&gt; MD420 | VIC &gt;&gt; A942 | UNIPART &gt;&gt; GFE1115 | MECAFILTER &gt;&gt; EL3557 | ACDelco &gt;&gt; PC492</t>
  </si>
  <si>
    <t>Height 1, mm &gt;&gt; 43</t>
  </si>
  <si>
    <t>HONDA &gt;&gt; 17220FP0661 | HONDA &gt;&gt; 17220PE0663 | HONDA &gt;&gt; 17220PEO661 | HONDA &gt;&gt; 17220PE0003 | SUZUKI &gt;&gt; 1378082000 | AC &gt;&gt; A1133C | MAHLE FILTER &gt;&gt; LX630 | QUINTON HAZELL &gt;&gt; WA6458 | FRAM &gt;&gt; CA4958 | TECNOCAR &gt;&gt; A254 | SogefiPro &gt;&gt; FL6737 | CLEAN FILTERS &gt;&gt; MA690 | CLEAN FILTERS &gt;&gt; MA672 | MEAT &amp; DORIA &gt;&gt; 16333 | MEAT &amp; DORIA &gt;&gt; 16318</t>
  </si>
  <si>
    <t xml:space="preserve"> &gt;&gt; Filter Insert | Length 1, mm &gt;&gt; 230 | Height 1, mm &gt;&gt; 37</t>
  </si>
  <si>
    <t>HONDA &gt;&gt; 17220PE2000 | HONDA &gt;&gt; 17220PE2020 | HONDA &gt;&gt; 17220PE2010 | HONDA &gt;&gt; 17220PE2306 | HONDA &gt;&gt; 17220PE2305 | AC &gt;&gt; A1198C | AMC &gt;&gt; HA878 | MAHLE FILTER &gt;&gt; LX897 | CHAMPION &gt;&gt; U594 | PUROLATOR &gt;&gt; AF3576 | PUROLATOR &gt;&gt; A13576 | HERTH+BUSS JAKOPARTS &gt;&gt; J1324007 | QUINTON HAZELL &gt;&gt; WA6298 | FRAM &gt;&gt; CA4381 | SogefiPro &gt;&gt; PA7083 | BALDWIN &gt;&gt; PA2203 | CROSLAND &gt;&gt; 9127 | WIX FILTERS &gt;&gt; 46149 | FILTRON &gt;&gt; AP119 | UFI &gt;&gt; 3024000 | MEAT &amp; DORIA &gt;&gt; 18041 | NIPPARTS &gt;&gt; J1324007 | MAHLE ORIGINAL &gt;&gt; 78444192 | FIRST LINE &gt;&gt; FAF389</t>
  </si>
  <si>
    <t>MAPCO</t>
  </si>
  <si>
    <t>Shape,  &gt;&gt; Round | Outer Diameter, mm &gt;&gt; 272 | Inner Diameter, mm &gt;&gt; 201 | Height, mm &gt;&gt; 45</t>
  </si>
  <si>
    <t>HONDA &gt;&gt; 17220PNA003 | HONDA &gt;&gt; 17220PNB003 | MANN-FILTER &gt;&gt; C28462 | KNECHT &gt;&gt; LX445 | PURFLUX &gt;&gt; A1392 | MAHLE FILTER &gt;&gt; LX445 | PUROLATOR &gt;&gt; A44327 | HERTH+BUSS JAKOPARTS &gt;&gt; J1324046 | QUINTON HAZELL &gt;&gt; WA6458 | FRAM &gt;&gt; CA4958 | HENGST FILTER &gt;&gt; E813L | SogefiPro &gt;&gt; FL6737 | MEYLE &gt;&gt; 31123210002 | WIX FILTERS &gt;&gt; WA9437 | ALCO FILTER &gt;&gt; MD584 | FILTRON &gt;&gt; AR2462 | UFI &gt;&gt; 2760100 | SCT Germany &gt;&gt; SB919 | NIPPARTS &gt;&gt; J1328005 | COMLINE &gt;&gt; CHN12009</t>
  </si>
  <si>
    <t xml:space="preserve"> &gt;&gt; Filter Insert | D1, mm &gt;&gt; 265 | D2, mm &gt;&gt; 197 | Height, mm &gt;&gt; 43</t>
  </si>
  <si>
    <t>FORD &gt;&gt; 5018346 | FORD &gt;&gt; 870X9601ARA | HONDA &gt;&gt; 17220FPO661 | HONDA &gt;&gt; 17220PEO601 | HONDA &gt;&gt; 17220PE0305 | HONDA &gt;&gt; 17220PEO003 | HONDA &gt;&gt; 17220PE0003 | HONDA &gt;&gt; 17220PE0663 | HONDA &gt;&gt; 17220PE0661 | HONDA &gt;&gt; 17220PEO661 | GENERAL MOTORS &gt;&gt; 25062127 | MANN-FILTER &gt;&gt; C2747 | BOSCH &gt;&gt; 1987429116 | KNECHT &gt;&gt; LX630 | PURFLUX &gt;&gt; A824 | MAHLE FILTER &gt;&gt; LX630 | CHAMPION &gt;&gt; W183 | PUROLATOR &gt;&gt; A44327 | FRAM &gt;&gt; CA4958 | FRAM &gt;&gt; CA4380 | CHAMP &gt;&gt; AF663 | DELPHI &gt;&gt; AF0108 | TECNOCAR &gt;&gt; A254 | AMC Filter &gt;&gt; HA877 | BALDWIN &gt;&gt; PA2147 | COOPERS &gt;&gt; AG790 | CROSLAND &gt;&gt; 9098 | TEHO &gt;&gt; 2282 | TJ FILTERS &gt;&gt; B246 | WIX FILTERS &gt;&gt; 46089 | WIX FILTERS &gt;&gt; WA6458 | JAPANPARTS &gt;&gt; JFA406 | ALCO FILTER &gt;&gt; MD420 | FILTRON &gt;&gt; AR278 | UNICO FILTER &gt;&gt; AE2642 | FLEETGUARD &gt;&gt; AF25608 | UNIPART &gt;&gt; GFE2616 | MECAFILTER &gt;&gt; EL3557 | MECAFILTER &gt;&gt; EL3537 | NIPPARTS &gt;&gt; J1324006 | BLUE PRINT &gt;&gt; ADH22209 | COMLINE &gt;&gt; EAF452 | COMLINE &gt;&gt; CHN12819 | COOPERSFIAAM FILTERS &gt;&gt; FL6737 | MULLER FILTER &gt;&gt; PA254</t>
  </si>
  <si>
    <t>DENCKERMANN</t>
  </si>
  <si>
    <t>HONDA &gt;&gt; 17220PE2000 | HONDA &gt;&gt; 17220PE2010 | HONDA &gt;&gt; 17220PE2003 | HONDA &gt;&gt; 17220PE2306 | AC &gt;&gt; PC527</t>
  </si>
  <si>
    <t>MEAT &amp; DORIA</t>
  </si>
  <si>
    <t>HONDA &gt;&gt; 17220PE2000 | HONDA &gt;&gt; 17220PE2003 | HONDA &gt;&gt; 17220PE2010 | HONDA &gt;&gt; 17220PE2020 | KNECHT &gt;&gt; LX897 | PURFLUX &gt;&gt; A833 | CHAMPION &gt;&gt; U594606 | PUROLATOR &gt;&gt; A13576 | HERTH+BUSS JAKOPARTS &gt;&gt; J1324007 | QUINTON HAZELL &gt;&gt; WA6298 | FRAM &gt;&gt; CA4381 | DELPHI &gt;&gt; AF0350 | DELPHI &gt;&gt; AF350 | SogefiPro &gt;&gt; PA7083 | SOFIMA &gt;&gt; S2340A | AMC Filter &gt;&gt; HA878 | JAPANPARTS &gt;&gt; JFA407S | JAPANPARTS &gt;&gt; JFA407 | JAPANPARTS &gt;&gt; FA407S | ALCO FILTER &gt;&gt; MD9150 | VIC &gt;&gt; A820V | UFI &gt;&gt; 3024000 | ASHIKA &gt;&gt; 2004407 | MEAT &amp; DORIA &gt;&gt; 18041 | NIPPARTS &gt;&gt; J1324007 | KAGER &gt;&gt; 120428 | HOFFER &gt;&gt; 18041 | IPS Parts &gt;&gt; IFA3407 | UNION &gt;&gt; A5191V | RYCO &gt;&gt; A458</t>
  </si>
  <si>
    <t>Height, mm &gt;&gt; 42 | Inner Diameter, mm &gt;&gt; 197 | Outer Diameter, mm &gt;&gt; 271</t>
  </si>
  <si>
    <t>HONDA &gt;&gt; 17220PE0003 | HONDA &gt;&gt; 17220PE0663 | HONDA &gt;&gt; 17220PE0661 | HONDA &gt;&gt; 17220PE3601 | MANN-FILTER &gt;&gt; C2747 | PURFLUX &gt;&gt; A824 | HERTH+BUSS JAKOPARTS &gt;&gt; J1324006 | WIX FILTERS &gt;&gt; WA6458 | JAPANPARTS &gt;&gt; FA406S | FILTRON &gt;&gt; AR278 | KAVO PARTS &gt;&gt; HA865 | KAVO PARTS &gt;&gt; HA877 | ASHIKA &gt;&gt; 2004406 | MAHLE ORIGINAL &gt;&gt; LX630 | BLUE PRINT &gt;&gt; ADH22209 | COMLINE &gt;&gt; EAF452 | NPS &gt;&gt; H132A06 | JAPKO &gt;&gt; 20406</t>
  </si>
  <si>
    <t>HONDA &gt;&gt; 17220PE2000 | HONDA &gt;&gt; 17220PE2020 | HONDA &gt;&gt; 17220PE2010 | HONDA &gt;&gt; 17220PE2306 | HONDA &gt;&gt; 17220PE2305 | PURFLUX &gt;&gt; A833 | CHAMPION &gt;&gt; U594 | PUROLATOR &gt;&gt; AF3576 | PUROLATOR &gt;&gt; A13576 | HERTH+BUSS JAKOPARTS &gt;&gt; J1324007 | FRAM &gt;&gt; CA4381 | SogefiPro &gt;&gt; PA7083 | AMC Filter &gt;&gt; HA878 | BALDWIN &gt;&gt; PA2203 | COOPERS &gt;&gt; AG1049 | CROSLAND &gt;&gt; 9127 | WIX FILTERS &gt;&gt; 46149 | FILTRON &gt;&gt; AP119 | UFI &gt;&gt; 3024000 | ACDelco &gt;&gt; A1198C | NIPPARTS &gt;&gt; J1324007 | FIRST LINE &gt;&gt; FAF389</t>
  </si>
  <si>
    <t>HOFFER</t>
  </si>
  <si>
    <t>Height, mm &gt;&gt; 42 | Weight, kg &gt;&gt; 0,424 | Inner Diameter, mm &gt;&gt; 197 |  &gt;&gt; Filter Insert | Quantity required,  &gt;&gt; 1 | Outer Diameter, mm &gt;&gt; 271</t>
  </si>
  <si>
    <t>HONDA &gt;&gt; 09602038MAHLE | HONDA &gt;&gt; 17220PEO661 | HONDA &gt;&gt; J1324006HBJAKOPA | HONDA &gt;&gt; HA865AMC | HONDA &gt;&gt; 17220PEO661PE3 | HONDA &gt;&gt; A824PURFLUX | HONDA &gt;&gt; HA877AMC | HONDA &gt;&gt; 17220PE0003 | HONDA &gt;&gt; 17220PE0663 | HONDA &gt;&gt; 17220PE3601 | HONDA &gt;&gt; FL6737FIAAM | HONDA &gt;&gt; FA406SJAPANPARTS | HONDA &gt;&gt; 2004406ASHIKA | HONDA &gt;&gt; 17220PE0661 | HONDA &gt;&gt; CA4958FRAM | HONDA &gt;&gt; C2747MANNHUMMEL | MANN-FILTER &gt;&gt; C2747 | BOSCH &gt;&gt; 1987429116 | KNECHT &gt;&gt; LX630 | PURFLUX &gt;&gt; A824 | MAHLE FILTER &gt;&gt; LX630 | PUROLATOR &gt;&gt; A44327 | HERTH+BUSS JAKOPARTS &gt;&gt; J1324006 | QUINTON HAZELL &gt;&gt; QFA0264 | FRAM &gt;&gt; CA4380 | DELPHI &gt;&gt; AF0108 | MAGNETI MARELLI &gt;&gt; 154096020380 | DOYEN &gt;&gt; DAF3405 | AMC Filter &gt;&gt; HA877 | CLEAN FILTERS &gt;&gt; MA672 | COOPERS &gt;&gt; AG1229 | CROSLAND &gt;&gt; 9098 | TJ FILTERS &gt;&gt; B246 | WIX FILTERS &gt;&gt; WA6458 | JAPANPARTS &gt;&gt; FA406S | ALCO FILTER &gt;&gt; MD420 | FILTRON &gt;&gt; AR278 | DENCKERMANN &gt;&gt; A140329 | VIC &gt;&gt; A819 | KAVO PARTS &gt;&gt; HA877 | KAVO PARTS &gt;&gt; HA865 | UNIPART &gt;&gt; GFE1120 | DAIICHI &gt;&gt; PA819 | MECAFILTER &gt;&gt; EL3557 | ACDelco &gt;&gt; PC492 | SCT Germany &gt;&gt; SB607 | ASHIKA &gt;&gt; 2004406 | MEAT &amp; DORIA &gt;&gt; 16333 | MEAT &amp; DORIA &gt;&gt; 16318 | NIPPARTS &gt;&gt; J1324006 | KAGER &gt;&gt; 120245 | MAHLE ORIGINAL &gt;&gt; LX630 | HOFFER &gt;&gt; 16318 | BLUE PRINT &gt;&gt; ADH22209 | SOLID AUTO (UK) &gt;&gt; H101008 | COMLINE &gt;&gt; EAF452 | COOPERSFIAAM FILTERS &gt;&gt; FL6737 | MOTAQUIP &gt;&gt; VFA281 | NPS &gt;&gt; H132A06 | ASHUKI &gt;&gt; 03966004 | IPS Parts &gt;&gt; IFA3406 | UNION &gt;&gt; A518 | JAPKO &gt;&gt; 20406 | MULLER FILTER &gt;&gt; PA254 | KAISHIN &gt;&gt; A819VIC | QH Talbros &gt;&gt; WA6458</t>
  </si>
  <si>
    <t>Fuel filter</t>
  </si>
  <si>
    <t>Height, mm &gt;&gt; 57 | Outer Diameter, mm &gt;&gt; 102 |  &gt;&gt; In-Line Filter | Inlet O, mm &gt;&gt; 8 | Outlet O, mm &gt;&gt; 8</t>
  </si>
  <si>
    <t>FORD &gt;&gt; 1219772 | FORD &gt;&gt; E27Z9155A | FORD &gt;&gt; E8BZ9155A | FORD &gt;&gt; FE0113470 | MAZDA &gt;&gt; E50813470 | MAZDA &gt;&gt; FEH113470 | MAZDA &gt;&gt; FE0113470 | MAZDA &gt;&gt; FED113470 | SUBARU &gt;&gt; 7420GA061 | SUBARU &gt;&gt; 742042076 | SUBARU &gt;&gt; 742021140 | SUBARU &gt;&gt; 42072GA061 | TOYOTA &gt;&gt; 2330036021 | TOYOTA &gt;&gt; 2330036020 | TOYOTA &gt;&gt; 2330024030 | TOYOTA &gt;&gt; 2330026030 | TOYOTA &gt;&gt; 2330024031 | AC &gt;&gt; FS44 | BOSCH &gt;&gt; 0986450117 | KNECHT &gt;&gt; KL116 | MAHLE FILTER &gt;&gt; KL116 | FRAM &gt;&gt; G4774 | HENGST FILTER &gt;&gt; H166WK | CLEAN FILTERS &gt;&gt; MBNA015 | WIX FILTERS &gt;&gt; WF8141 | FILTRON &gt;&gt; PS883 | UFI &gt;&gt; 3101800 | MECAFILTER &gt;&gt; ELE3585 | COOPERSFIAAM FILTERS &gt;&gt; FT5178</t>
  </si>
  <si>
    <t>Fuel Supply System</t>
  </si>
  <si>
    <t>Fuel</t>
  </si>
  <si>
    <t>FORD &gt;&gt; E27Z9155A | FORD &gt;&gt; E8BZ9155A | MAZDA &gt;&gt; FE0113470 | MAZDA &gt;&gt; E50813470 | SUBARU &gt;&gt; 74207GA061 | TOYOTA &gt;&gt; 2330036020 | GENERAL MOTORS &gt;&gt; 25055002 | GENERAL MOTORS &gt;&gt; 25067344 | GENERAL MOTORS &gt;&gt; 25055660 | MANN-FILTER &gt;&gt; WK4214 | BOSCH &gt;&gt; 0986450117 | KNECHT &gt;&gt; KL116 | MAHLE FILTER &gt;&gt; KL116 | FRAM &gt;&gt; G4774 | HENGST FILTER &gt;&gt; H166WK | SOFIMA &gt;&gt; S1018B | CLEAN FILTERS &gt;&gt; MBNA015 | WIX FILTERS &gt;&gt; WF8141 | FILTRON &gt;&gt; PS883 | UFI &gt;&gt; 3101800 | MECAFILTER &gt;&gt; ELE3585 | COOPERSFIAAM FILTERS &gt;&gt; FT5178</t>
  </si>
  <si>
    <t>Outer Diameter, mm &gt;&gt; 45 | Inner Diameter, mm &gt;&gt; 8 | Height, mm &gt;&gt; 66</t>
  </si>
  <si>
    <t>FORD &gt;&gt; E27Z9155A | FORD &gt;&gt; E8BZ9155A | HONDA &gt;&gt; 16900SA0903 | HONDA &gt;&gt; 16900SA5013 | HONDA &gt;&gt; 16900SA5005 | HONDA &gt;&gt; 16900SA5004 | HONDA &gt;&gt; 16900SAO903 | HONDA &gt;&gt; 16900SA5023 | HONDA &gt;&gt; 16900SA5003 | HONDA &gt;&gt; 16900SAO901 | MAZDA &gt;&gt; FEH113470 | MERCEDES-BENZ &gt;&gt; KY0113470A | ROVER &gt;&gt; DEP7678 | SUBARU &gt;&gt; 7420GA061 | SUBARU &gt;&gt; 742042076 | SUBARU &gt;&gt; 742021140 | SUBARU &gt;&gt; 42072GA061 | SUBARU &gt;&gt; 42070GA061 | TOYOTA &gt;&gt; 2330036021 | TOYOTA &gt;&gt; 2330036020 | TOYOTA &gt;&gt; 2330026030 | TOYOTA &gt;&gt; 2330024031 | TOYOTA &gt;&gt; 2330024030 | HYUNDAI &gt;&gt; PE114221900 | AC &gt;&gt; GF540 | AC &gt;&gt; FS14 | AC &gt;&gt; FS9116E | AC &gt;&gt; FS9107E | GENERAL MOTORS &gt;&gt; 94139088 | GENERAL MOTORS &gt;&gt; 94107744 | GENERAL MOTORS &gt;&gt; 8941077448 | GENERAL MOTORS &gt;&gt; 8941077440 | GENERAL MOTORS &gt;&gt; 96051793 | ASIA MOTORS &gt;&gt; PE11421900 | ASIA MOTORS &gt;&gt; KKY0113470A | MANN-FILTER &gt;&gt; WK4214 | MANN-FILTER &gt;&gt; WK4283 | BOSCH &gt;&gt; F0117 | BOSCH &gt;&gt; F0036 | BOSCH &gt;&gt; 0986450036 | BOSCH &gt;&gt; 986450117 | BOSCH &gt;&gt; 986450036 | BOSCH &gt;&gt; 0986450117 | MAHLE FILTER &gt;&gt; KL116 | MAHLE FILTER &gt;&gt; KL105 | MAHLE FILTER &gt;&gt; KL107 | CHAMPION &gt;&gt; L586606 | CHAMPION &gt;&gt; GF53 | CHAMPION &gt;&gt; GF16 | PUROLATOR &gt;&gt; PFC163M | PUROLATOR &gt;&gt; PF3170M | PUROLATOR &gt;&gt; PFC163 | PUROLATOR &gt;&gt; PF3170 | PUROLATOR &gt;&gt; F40163M | PUROLATOR &gt;&gt; F23170 | PUROLATOR &gt;&gt; F40163 | PUROLATOR &gt;&gt; GF4404 | HERTH+BUSS JAKOPARTS &gt;&gt; J133405 | HERTH+BUSS JAKOPARTS &gt;&gt; J1333002 | HERTH+BUSS JAKOPARTS &gt;&gt; J1334005 | HERTH+BUSS JAKOPARTS &gt;&gt; J1332002 | HERTH+BUSS JAKOPARTS &gt;&gt; J133213 | QUINTON HAZELL &gt;&gt; WF8135 | QUINTON HAZELL &gt;&gt; QFF8027 | QUINTON HAZELL &gt;&gt; QFF8015 | CHAMP &gt;&gt; GF53 | CHAMP &gt;&gt; GF16 | CHAMP &gt;&gt; G803 | CHAMP &gt;&gt; G752 | CHAMP &gt;&gt; G342 | CHAMP &gt;&gt; G2965 | CHAMP &gt;&gt; FN74 | CHAMP &gt;&gt; FN95 | HENGST FILTER &gt;&gt; H166WK | DELPHI &gt;&gt; FF0126 | DELPHI &gt;&gt; F65 | DELPHI &gt;&gt; F63 | DELPHI &gt;&gt; F59 | DELPHI &gt;&gt; F58 | DELPHI &gt;&gt; F109 | SogefiPro &gt;&gt; FT5192 | SogefiPro &gt;&gt; FT5178 | SOFIMA &gt;&gt; S1023B | SOFIMA &gt;&gt; S1018B | AMC Filter &gt;&gt; HF856 | P.B.R. &gt;&gt; BF1017 | P.B.R. &gt;&gt; BF1015 | CLEAN FILTERS &gt;&gt; MBNA1537 | CLEAN FILTERS &gt;&gt; MBNA015 | CLEAN FILTERS &gt;&gt; MB15 | ALCO (ZYPERN) &gt;&gt; FF022 | ALCO (ZYPERN) &gt;&gt; FF005 | BALDWIN &gt;&gt; BF837 | COOPERS &gt;&gt; Z652 | COOPERS &gt;&gt; Z1024 | CROSLAND &gt;&gt; 6687 | CROSLAND &gt;&gt; 6680 | TEHO &gt;&gt; 71015 | WIX FILTERS &gt;&gt; 33204 | WIX FILTERS &gt;&gt; WF8135 | JAPANPARTS &gt;&gt; FC405S | JAPANPARTS &gt;&gt; JFC405S | JAPANPARTS &gt;&gt; JFC405 | JAPANPARTS &gt;&gt; JFC315 | JAPANPARTS &gt;&gt; JFC302 | FILTRON &gt;&gt; PS886 | FILTRON &gt;&gt; PS883 | FILTRON &gt;&gt; PS867 | FILTRON &gt;&gt; PP867 | VIC &gt;&gt; FC408 | VIC &gt;&gt; FC121 | UFI &gt;&gt; 3102300 | UFI &gt;&gt; 3101800 | FLEETGUARD &gt;&gt; FF5196 | FLEETGUARD &gt;&gt; FF5181 | MOTORCRAFT &gt;&gt; FG863 | MOTORCRAFT &gt;&gt; FG861 | MOTORCRAFT &gt;&gt; FG803 | UNIPART &gt;&gt; GFE7175 | UNIPART &gt;&gt; GFE7039 | UNIPART &gt;&gt; GFE7006 | A.P. &gt;&gt; LK3742 | A.P. &gt;&gt; FF18 | MECAFILTER &gt;&gt; ELE6058 | MECAFILTER &gt;&gt; ELE3585 | MECAFILTER &gt;&gt; ELE2091 | ASHIKA &gt;&gt; 3004405 | COOPERSFIAAM FILTERS &gt;&gt; FT5192 | COOPERSFIAAM FILTERS &gt;&gt; FT5178 | UNION &gt;&gt; F506 | UNION &gt;&gt; F406 | UNION &gt;&gt; F122</t>
  </si>
  <si>
    <t>Inner Diameter 1, mm &gt;&gt; 8 | Inner Diameter 2, mm &gt;&gt; 8</t>
  </si>
  <si>
    <t>HONDA &gt;&gt; 16900SA5003 | HONDA &gt;&gt; 16900SA5004 | SUZUKI &gt;&gt; 1541082000 | MANN-FILTER &gt;&gt; WK426 | PURFLUX &gt;&gt; EP169 | HERTH+BUSS JAKOPARTS &gt;&gt; J1334005 | HERTH+BUSS JAKOPARTS &gt;&gt; J1338003 | FRAM &gt;&gt; G6429 | WIX FILTERS &gt;&gt; WF8135 | JAPANPARTS &gt;&gt; FC405S | FILTRON &gt;&gt; PS867 | KAVO PARTS &gt;&gt; HF855 | KAVO PARTS &gt;&gt; HF856 | ASHIKA &gt;&gt; 3004405 | BLUE PRINT &gt;&gt; ADH22308 | BLUE PRINT &gt;&gt; ADK82302 | NPS &gt;&gt; H133A05 | NPS &gt;&gt; H133A07 | NPS &gt;&gt; S133I03 | JAPKO &gt;&gt; 30405</t>
  </si>
  <si>
    <t>Weight, kg &gt;&gt; 0,068 | Inner Diameter 1, mm &gt;&gt; 8 |  &gt;&gt; In-Line Filter | Inner Diameter 2, mm &gt;&gt; 8 | Quantity required,  &gt;&gt; 1</t>
  </si>
  <si>
    <t>HONDA &gt;&gt; 09630963MAHLE | HONDA &gt;&gt; HF856AMC | HONDA &gt;&gt; 3004405ASHIKA | HONDA &gt;&gt; J1334005HBJAKOPA | HONDA &gt;&gt; 16900611014 | HONDA &gt;&gt; 16900SA5004 | HONDA &gt;&gt; G4774FRAM | HONDA &gt;&gt; FC405SJAPANPARTS | HONDA &gt;&gt; 16900SA5003 | HONDA &gt;&gt; FT5192FIAAM | HONDA &gt;&gt; WK4283MANNHUMMEL | SUZUKI &gt;&gt; J1338003HBJAKOPA | SUZUKI &gt;&gt; EP169PURFLUX | SUZUKI &gt;&gt; 09631664MAHLE | SUZUKI &gt;&gt; 1541082000 | SUZUKI &gt;&gt; HF855AMC | SUZUKI &gt;&gt; G6429FRAM | SUZUKI &gt;&gt; WK426MANNHUMMEL | MANN-FILTER &gt;&gt; WK4283 | MANN-FILTER &gt;&gt; WK426 | BOSCH &gt;&gt; 0986450036 | KNECHT &gt;&gt; KL105 | PURFLUX &gt;&gt; EP169 | MAHLE FILTER &gt;&gt; KL105 | PUROLATOR &gt;&gt; F40163 | HERTH+BUSS JAKOPARTS &gt;&gt; J1338003 | HERTH+BUSS JAKOPARTS &gt;&gt; J1334005 | QUINTON HAZELL &gt;&gt; QFF0316 | FRAM &gt;&gt; G4774 | DELPHI &gt;&gt; FF0018 | MAGNETI MARELLI &gt;&gt; 161013340050 | DOYEN &gt;&gt; DEF3403 | SOFIMA &gt;&gt; S1023B | AMC Filter &gt;&gt; HF856 | CLEAN FILTERS &gt;&gt; MBNA1537 | COOPERS &gt;&gt; Z1024 | CROSLAND &gt;&gt; 6680 | WIX FILTERS &gt;&gt; WF8135 | JAPANPARTS &gt;&gt; FC405S | ALCO FILTER &gt;&gt; FF013 | FILTRON &gt;&gt; PS867 | DENCKERMANN &gt;&gt; A130010 | VIC &gt;&gt; FC805 | KAVO PARTS &gt;&gt; HF856 | KAVO PARTS &gt;&gt; HF855 | UFI &gt;&gt; 3102300 | UNIPART &gt;&gt; GFE7015 | UNIPART &gt;&gt; GFE10009 | MECAFILTER &gt;&gt; ELE6058 | ACDelco &gt;&gt; FS14 | SCT Germany &gt;&gt; ST336 | PBR &gt;&gt; BF1017 | ASHIKA &gt;&gt; 3004405 | MEAT &amp; DORIA &gt;&gt; 4520 | NIPPARTS &gt;&gt; J1334005 | KAGER &gt;&gt; 110134 | HOFFER &gt;&gt; 4520 | BLUE PRINT &gt;&gt; ADK82302 | BLUE PRINT &gt;&gt; ADH22308 | SOLID AUTO (UK) &gt;&gt; H103004 | COMLINE &gt;&gt; CHN13001 | COOPERSFIAAM FILTERS &gt;&gt; FT5192 | MOTAQUIP &gt;&gt; VFF217 | NPS &gt;&gt; H133A07 | NPS &gt;&gt; H133A05 | NPS &gt;&gt; S133I03 | ASHUKI &gt;&gt; 03995004 | IPS Parts &gt;&gt; IFG3405 | JAPKO &gt;&gt; 30405 | KAISHIN &gt;&gt; FC805VIC | QH Talbros &gt;&gt; WF8135</t>
  </si>
  <si>
    <t xml:space="preserve"> &gt;&gt; In-Line Filter | Height, mm &gt;&gt; 65 | Outer Diameter 1, mm &gt;&gt; 50 | Inner Diameter 1, mm &gt;&gt; 8 | Inner Diameter 2, mm &gt;&gt; 8</t>
  </si>
  <si>
    <t>HONDA &gt;&gt; 16900SA5000 | HONDA &gt;&gt; 16900SA5004 | HONDA &gt;&gt; 16900SA5023 | HONDA &gt;&gt; 16900SA5014 | HONDA &gt;&gt; 16900SA5003 | HONDA &gt;&gt; 16900SA5013 | HONDA &gt;&gt; 16900SA5005</t>
  </si>
  <si>
    <t>GATES</t>
  </si>
  <si>
    <t>V-Belt</t>
  </si>
  <si>
    <t>Driven Units &gt;&gt; Driven unit: aircon compressor</t>
  </si>
  <si>
    <t>AUDI &gt;&gt; 063903137 | AUDI &gt;&gt; 035260849A | BEDFORD &gt;&gt; 93891618 | BEDFORD &gt;&gt; 94222880 | BEDFORD &gt;&gt; 94411860 | BMW &gt;&gt; 64551734669 | DAIHATSU &gt;&gt; 9091602052 | DAIHATSU &gt;&gt; 9091602060 | DAIHATSU &gt;&gt; 9932200890 | DAIHATSU &gt;&gt; 9933200890 | FORD &gt;&gt; 1511349 | FORD &gt;&gt; 85TF6C301F2A | FORD &gt;&gt; 85TF6C301FA | FORD &gt;&gt; 722F8620DC | FORD &gt;&gt; 85TF6C301F1A | FORD &gt;&gt; 742F8620AA | FORD &gt;&gt; EJ3V0897 | FORD &gt;&gt; 6158124 | FORD &gt;&gt; 6144781 | FORD &gt;&gt; 6158123 | HONDA &gt;&gt; 38920PG6004 | HONDA &gt;&gt; 38920PG6006 | HONDA &gt;&gt; 38920PG6003 | ISUZU &gt;&gt; 94222880 | ISUZU &gt;&gt; 93891618 | ISUZU &gt;&gt; 91145737 | ISUZU &gt;&gt; 8942252090 | ISUZU &gt;&gt; 8941316290 | ISUZU &gt;&gt; 8941751700 | ISUZU &gt;&gt; 8942228800 | ISUZU &gt;&gt; 8941675890 | ISUZU &gt;&gt; 8924252090 | ISUZU &gt;&gt; 8941116870 | ISUZU &gt;&gt; 4291734 | ISUZU &gt;&gt; 94411860 | MAZDA &gt;&gt; 227618381B | MAZDA &gt;&gt; RF7118381C | MAZDA &gt;&gt; RF7118381B | MAZDA &gt;&gt; RF7118381A | MAZDA &gt;&gt; RF7115908 | MAZDA &gt;&gt; RF7118381 | MAZDA &gt;&gt; RF2L18380A | MAZDA &gt;&gt; RF2L18380B | MAZDA &gt;&gt; PN4018381 | MAZDA &gt;&gt; R2S215907 | MAZDA &gt;&gt; B6SF18381B | MAZDA &gt;&gt; B61H18381A | MAZDA &gt;&gt; B6S718381A | MAZDA &gt;&gt; B6S718381B | MAZDA &gt;&gt; B6SF18381A | MERCEDES-BENZ &gt;&gt; 0059977692 | MERCEDES-BENZ &gt;&gt; A0059977692 | MITSUBISHI &gt;&gt; MB272651 | MITSUBISHI &gt;&gt; MB167065 | NISSAN &gt;&gt; 11720P8000 | NISSAN &gt;&gt; 0211790525 | NISSAN &gt;&gt; 1172083000 | NISSAN &gt;&gt; 1172029500 | NISSAN &gt;&gt; 0211790523 | NISSAN &gt;&gt; 1172028L01 | NISSAN &gt;&gt; 1172016A02 | NISSAN &gt;&gt; 1172005E15 | NISSAN &gt;&gt; 0211790023 | NISSAN &gt;&gt; 1172005E10 | NISSAN &gt;&gt; 0211788523 | NISSAN &gt;&gt; 1172005E05 | NISSAN &gt;&gt; 1172005E00 | NISSAN &gt;&gt; 11920V2000 | NISSAN &gt;&gt; 1192028L00 | NISSAN &gt;&gt; 1175005E10KE | NISSAN &gt;&gt; A1720V2010 | NISSAN &gt;&gt; 1175005E10 | NISSAN &gt;&gt; 1175005E00 | NISSAN &gt;&gt; 0211791023 | NISSAN &gt;&gt; 11720Y4000 | NISSAN &gt;&gt; 11720W0710 | NISSAN &gt;&gt; 11720V2010 | NISSAN &gt;&gt; 0211790526 | OPEL &gt;&gt; 9201832 | OPEL &gt;&gt; 1340682 | PEUGEOT &gt;&gt; 645701 | TOYOTA &gt;&gt; 9091602061 | TOYOTA &gt;&gt; 9091602060 | TOYOTA &gt;&gt; 9091602055 | TOYOTA &gt;&gt; 9087108905 | TOYOTA &gt;&gt; 9952210901 | TOYOTA &gt;&gt; 9952210904 | TOYOTA &gt;&gt; 9952210900 | TOYOTA &gt;&gt; 9952210892 | TOYOTA &gt;&gt; 9933260905 | TOYOTA &gt;&gt; 9952210890 | TOYOTA &gt;&gt; 9933210905 | TOYOTA &gt;&gt; 9933210890 | TOYOTA &gt;&gt; 9933210880 | TOYOTA &gt;&gt; 993321088078 | TOYOTA &gt;&gt; 9933200905 | TOYOTA &gt;&gt; 9933200900 | TOYOTA &gt;&gt; 993320089001 | TOYOTA &gt;&gt; 9933200890 | TOYOTA &gt;&gt; 9932200900 | TOYOTA &gt;&gt; 9932200890 | VAUXHALL &gt;&gt; 94222880 | VAUXHALL &gt;&gt; 93891618 | VAUXHALL &gt;&gt; 9201832 | VAUXHALL &gt;&gt; 91145737 | VAUXHALL &gt;&gt; 1340682 | VAUXHALL &gt;&gt; 4291734 | VOLVO &gt;&gt; 978383 | VW &gt;&gt; 063903137 | KIA &gt;&gt; 0K65B15907C | ACURA &gt;&gt; 38920PG6004 | LUCAS ELECTRICAL &gt;&gt; KEB900 | BOSCH &gt;&gt; 1987947653 | BOSCH &gt;&gt; 9134162181 | BOSCH &gt;&gt; 1987947404 | BOSCH &gt;&gt; 9134162180 | BOSCH &gt;&gt; 9124162180 | BOSCH &gt;&gt; 9104162184 | BOSCH &gt;&gt; 9114162180 | BOSCH &gt;&gt; 9104162180 | CONTITECH &gt;&gt; V617 | CONTITECH &gt;&gt; V2025 | CONTITECH &gt;&gt; 6588643 | CONTITECH &gt;&gt; 6587493 | CONTITECH &gt;&gt; 6578735 | CONTITECH &gt;&gt; AVX13X910 | CONTITECH &gt;&gt; AVX13X900 | CONTITECH &gt;&gt; AV13910 | CONTITECH &gt;&gt; AV13900 | DAYCO &gt;&gt; 17355 | DAYCO &gt;&gt; 17353 | DAYCO &gt;&gt; 17350 | DAYCO &gt;&gt; 13A0903C | DAYCO &gt;&gt; 840SD | DAYCO &gt;&gt; 839 | DAYCO &gt;&gt; 13A0900C | DAYCO &gt;&gt; 7452 | DAYCO &gt;&gt; 13A0885C | DAYCO &gt;&gt; 7233D | DAYCO &gt;&gt; 7233 | DAYCO &gt;&gt; 6922 | DAYCO &gt;&gt; 6905 | DAYCO &gt;&gt; 4706 | DAYCO &gt;&gt; 2420 | SKF &gt;&gt; VKMV13AVX900 | SKF &gt;&gt; VKMV13AVX905 | HERTH+BUSS JAKOPARTS &gt;&gt; J1130890 | HERTH+BUSS JAKOPARTS &gt;&gt; J1130900 | HERTH+BUSS JAKOPARTS &gt;&gt; J1010900 | QUINTON HAZELL &gt;&gt; QBB900 | FERODO &gt;&gt; VT900 | FERODO &gt;&gt; V5038 | FERODO &gt;&gt; V1038 | FERODO &gt;&gt; FT900 | FERODO &gt;&gt; FT882 | OPTIBELT &gt;&gt; 2180 | OPTIBELT &gt;&gt; X13X871 | OPTIBELT &gt;&gt; 125X900 | OPTIBELT &gt;&gt; AVX13X900TM | OPTIBELT &gt;&gt; AVX13X900 | MINTEX &gt;&gt; WKT352 | MINTEX &gt;&gt; PWKT900 | ROULUNDS RUBBER &gt;&gt; 2115 | ROULUNDS RUBBER &gt;&gt; 2110 | ROULUNDS RUBBER &gt;&gt; 3A0910 | JAPANPARTS &gt;&gt; TTK10 | JAPANPARTS &gt;&gt; TTK07 | JAPANPARTS &gt;&gt; TT696 | JAPANPARTS &gt;&gt; JTT696 | JAPANPARTS &gt;&gt; DTWA930 | JAPANPARTS &gt;&gt; DT13X915LA | JAPANPARTS &gt;&gt; DTWA890 | JAPANPARTS &gt;&gt; DT13X900LA | VEYANCE &gt;&gt; 13AV0900HDX2 | VEYANCE &gt;&gt; 13AV0900HD | VEYANCE &gt;&gt; 13AV0900 | VEYANCE &gt;&gt; 13AV0887 | VEYANCE &gt;&gt; 1101H | VEYANCE &gt;&gt; 6764D | VEYANCE &gt;&gt; 1250900 | HUTCHINSON &gt;&gt; AV13885LA900 | HUTCHINSON &gt;&gt; AV13885CR | HUTCHINSON &gt;&gt; 5162 | KLEBER &gt;&gt; 13X905 | KLEBER &gt;&gt; 13X900 | KLEBER &gt;&gt; 1386 | KLEBER &gt;&gt; AV13890 | KLEBER &gt;&gt; AV13885 | UNIPART &gt;&gt; GCB20897 | HAVAM &gt;&gt; VS2111 | HAVAM &gt;&gt; VS2105 | ACDelco &gt;&gt; AB31053 | FLENNOR &gt;&gt; A5506 | FLENNOR &gt;&gt; A5355 | BANDO &gt;&gt; WA930 | BANDO &gt;&gt; WA890 | BANDO &gt;&gt; 3345 | BANDO &gt;&gt; 3340 | MITSUBOSHI &gt;&gt; REC125X900 | MITSUBOSHI &gt;&gt; REC125X885 | MITSUBOSHI &gt;&gt; MF6355 | MITSUBOSHI &gt;&gt; MF6350 | MITSUBOSHI &gt;&gt; MF2355 | NIPPARTS &gt;&gt; J1130900 | BLUE PRINT &gt;&gt; ADM59622</t>
  </si>
  <si>
    <t>Belt</t>
  </si>
  <si>
    <t>Belt Drive</t>
  </si>
  <si>
    <t>Width, mm &gt;&gt; 10 | Length, mm &gt;&gt; 825</t>
  </si>
  <si>
    <t>ALFA ROMEO &gt;&gt; 60591813 | ALFA ROMEO &gt;&gt; 117010210300 | ALFA ROMEO &gt;&gt; 60513650 | ALFA ROMEO &gt;&gt; 60534411 | ALFA ROMEO &gt;&gt; 60547821 | ALFA ROMEO &gt;&gt; 60801493 | ALFA ROMEO &gt;&gt; 71739912 | AUDI &gt;&gt; 055131615A | AUDI &gt;&gt; 034903137 | AUSTIN &gt;&gt; AAU3577 | AUSTIN &gt;&gt; 13H5373 | AUSTIN &gt;&gt; GFB192 | AUSTIN &gt;&gt; GFB60825 | AUSTIN &gt;&gt; GFB195 | AUSTIN &gt;&gt; GFB252 | AUSTIN &gt;&gt; ADU4236 | AUSTIN &gt;&gt; GFB10825 | AUSTIN &gt;&gt; GFB183 | AUSTIN &gt;&gt; GCB10825 | AUSTIN &gt;&gt; GFB104 | BMW &gt;&gt; 32421706825 | BMW &gt;&gt; 32421706597 | BMW &gt;&gt; 32411266681 | BMW &gt;&gt; 32411276314 | BMW &gt;&gt; 1717013 | BMW &gt;&gt; 1706597 | BMW &gt;&gt; 1706825 | BMW &gt;&gt; 32421717011 | CITROEN &gt;&gt; 128031 | CITROEN &gt;&gt; 95493868 | CITROEN &gt;&gt; 95494186 | CITROEN &gt;&gt; 5430452 | CITROEN &gt;&gt; 5430452C | CITROEN &gt;&gt; 75524245 | CITROEN &gt;&gt; 75492093 | DAIHATSU &gt;&gt; 9932150821 | FIAT &gt;&gt; 60534411 | FIAT &gt;&gt; 60513650 | FIAT &gt;&gt; 5956599 | FIAT &gt;&gt; 5930833 | FIAT &gt;&gt; 5493868 | FIAT &gt;&gt; 5518907 | FIAT &gt;&gt; 82404108 | FIAT &gt;&gt; 82404105 | FIAT &gt;&gt; 5494188 | FIAT &gt;&gt; 82404106 | FIAT &gt;&gt; 82018381 | FIAT &gt;&gt; 4478580 | FIAT &gt;&gt; 4467845 | FIAT &gt;&gt; 7604702 | FIAT &gt;&gt; 7581317 | FIAT &gt;&gt; 4464043 | FIAT &gt;&gt; 7561316 | FIAT &gt;&gt; 71739912 | FIAT &gt;&gt; 0000075492093 | FIAT &gt;&gt; 60801493 | FIAT &gt;&gt; 0000007581316 | FIAT &gt;&gt; 4224377 | FIAT &gt;&gt; 60591813 | FIAT &gt;&gt; 60547821 | FORD &gt;&gt; 98FB6C301AA | FORD &gt;&gt; 96MM6K288A2A | FORD &gt;&gt; 1823388 | FORD &gt;&gt; 821M6C301AA | FORD &gt;&gt; 821F6C301AC | FORD &gt;&gt; 821F6C301AA | FORD &gt;&gt; 1063290 | FORD &gt;&gt; 1562163 | FORD &gt;&gt; 6104232 | JAGUAR &gt;&gt; C29849 | LANCIA &gt;&gt; 5956599 | LANCIA &gt;&gt; 5930833 | LANCIA &gt;&gt; 5518907 | LANCIA &gt;&gt; 82404108 | LANCIA &gt;&gt; 82404105 | LANCIA &gt;&gt; 82018381 | LANCIA &gt;&gt; 4478580 | LANCIA &gt;&gt; 4467845 | LANCIA &gt;&gt; 7604702 | LANCIA &gt;&gt; 7581317 | LANCIA &gt;&gt; 4464043 | LANCIA &gt;&gt; 7561316 | LANCIA &gt;&gt; 4313390 | LANCIA &gt;&gt; 4224377 | MAZDA &gt;&gt; 232913715 | MAZDA &gt;&gt; 156218381 | MAZDA &gt;&gt; 082018381 | MERCEDES-BENZ &gt;&gt; A007753009503 | MERCEDES-BENZ &gt;&gt; A002997579264 | MERCEDES-BENZ &gt;&gt; A0029975792 | MERCEDES-BENZ &gt;&gt; 0029975792 | MERCEDES-BENZ &gt;&gt; 007753009503 | MG &gt;&gt; GFB60825 | MG &gt;&gt; GFB252 | MG &gt;&gt; GFB195 | MG &gt;&gt; GFB192 | MG &gt;&gt; GFB183 | MG &gt;&gt; GFB10825 | MG &gt;&gt; GFB104 | MG &gt;&gt; GCB10825 | MG &gt;&gt; 13H5373 | OPEL &gt;&gt; 950362 | OPEL &gt;&gt; 91140570 | OPEL &gt;&gt; 90156974 | OPEL &gt;&gt; 90156794 | PEUGEOT &gt;&gt; 128012 | PORSCHE &gt;&gt; 99919200650 | RENAULT &gt;&gt; 7701349028 | RENAULT &gt;&gt; 7700683283 | RENAULT &gt;&gt; 7700646222 | RENAULT &gt;&gt; 7700546003 | RENAULT &gt;&gt; 7700545221 | RENAULT &gt;&gt; 7700546002 | ROVER &gt;&gt; GFB60825 | ROVER &gt;&gt; GFB252 | ROVER &gt;&gt; GFB195 | ROVER &gt;&gt; GFB192 | ROVER &gt;&gt; GFB183 | ROVER &gt;&gt; 13H5373 | ROVER &gt;&gt; GFB10825 | ROVER &gt;&gt; GFB104 | ROVER &gt;&gt; GCB10825 | SAAB &gt;&gt; 93185053 | SAAB &gt;&gt; 8339921 | SAAB &gt;&gt; 830050 | SUZUKI &gt;&gt; 1752178100 | SUZUKI &gt;&gt; 1752178000 | SUZUKI &gt;&gt; 1752176000 | VAUXHALL &gt;&gt; 91140570 | VAUXHALL &gt;&gt; 90156794 | VOLVO &gt;&gt; 950368 | VOLVO &gt;&gt; 950362 | VW &gt;&gt; 055131615A | DAEWOO &gt;&gt; 96182007 | GENERAL MOTORS &gt;&gt; 91140570 | GENERAL MOTORS &gt;&gt; 90156794 | AUTOBIANCHI &gt;&gt; 5956599 | AUTOBIANCHI &gt;&gt; 5930833 | AUTOBIANCHI &gt;&gt; 5518907 | AUTOBIANCHI &gt;&gt; 82404108 | AUTOBIANCHI &gt;&gt; 82404105 | AUTOBIANCHI &gt;&gt; 82018381 | AUTOBIANCHI &gt;&gt; 4478580 | AUTOBIANCHI &gt;&gt; 4467845 | AUTOBIANCHI &gt;&gt; 7604702 | AUTOBIANCHI &gt;&gt; 7581317 | AUTOBIANCHI &gt;&gt; 4464043 | AUTOBIANCHI &gt;&gt; 7561316 | AUTOBIANCHI &gt;&gt; 4224377 | CONTITECH &gt;&gt; AVX10X825 | GATES &gt;&gt; 6213MC | DAYCO &gt;&gt; 10A0825C | HERTH+BUSS JAKOPARTS &gt;&gt; J1130825 | AE &gt;&gt; SVB10825 | ACDelco &gt;&gt; AB31010 | FLENNOR &gt;&gt; A5102 | FAI AutoParts &gt;&gt; 10AV0825</t>
  </si>
  <si>
    <t>TRISCAN</t>
  </si>
  <si>
    <t>AUDI &gt;&gt; 035260849A | AUDI &gt;&gt; 063903137 | BEDFORD &gt;&gt; 93891618 | BEDFORD &gt;&gt; 94222880 | BEDFORD &gt;&gt; 94411860 | BMW &gt;&gt; 64551734669 | DAIHATSU &gt;&gt; 9091602060 | DAIHATSU &gt;&gt; 9091602052 | DAIHATSU &gt;&gt; 9932200905 | DAIHATSU &gt;&gt; 9933200890 | DAIHATSU &gt;&gt; 9932200890 | FIAT &gt;&gt; 4291734 | FORD &gt;&gt; 85TF6C301F1A | FORD &gt;&gt; 1511349 | FORD &gt;&gt; 85TF6C301F2A | FORD &gt;&gt; 85TF6C301FA | FORD &gt;&gt; EJ3V0897 | FORD &gt;&gt; 742F8620AA | FORD &gt;&gt; 722F8620DC | FORD &gt;&gt; 6144781 | FORD &gt;&gt; 6158124 | FORD &gt;&gt; 6158123 | HONDA &gt;&gt; 38920PG6003 | HONDA &gt;&gt; 38920PG6006 | HONDA &gt;&gt; 38920PG6004 | ISUZU &gt;&gt; 91145737 | ISUZU &gt;&gt; 8941316290 | ISUZU &gt;&gt; 8942228800 | ISUZU &gt;&gt; 8942252090 | ISUZU &gt;&gt; 8941675890 | ISUZU &gt;&gt; 8941751700 | ISUZU &gt;&gt; 8941116870 | ISUZU &gt;&gt; 8924252090 | ISUZU &gt;&gt; 4291734 | ISUZU &gt;&gt; 94411860 | ISUZU &gt;&gt; 94222880 | ISUZU &gt;&gt; 93891618 | MAZDA &gt;&gt; 227618381B | MAZDA &gt;&gt; RF7118381B | MAZDA &gt;&gt; RF7118381C | MAZDA &gt;&gt; RF7118381 | MAZDA &gt;&gt; RF7118381A | MAZDA &gt;&gt; RF2L18380B | MAZDA &gt;&gt; RF7115908 | MAZDA &gt;&gt; R2S215907 | MAZDA &gt;&gt; RF2L18380A | MAZDA &gt;&gt; PN4018381 | MAZDA &gt;&gt; B6SF18381B | MAZDA &gt;&gt; B61H18381A | MAZDA &gt;&gt; B6S718381A | MAZDA &gt;&gt; B6S718381B | MAZDA &gt;&gt; B6SF18381A | MERCEDES-BENZ &gt;&gt; 0059977692 | MITSUBISHI &gt;&gt; MB167065 | MITSUBISHI &gt;&gt; MB272651 | NISSAN &gt;&gt; 1175005E10 | NISSAN &gt;&gt; 1175005E00 | NISSAN &gt;&gt; 0211790526 | NISSAN &gt;&gt; 11720Y4000 | NISSAN &gt;&gt; 11720V2010 | NISSAN &gt;&gt; 11720P8000 | NISSAN &gt;&gt; 0211790525 | NISSAN &gt;&gt; 0211788523 | NISSAN &gt;&gt; 1172083000 | NISSAN &gt;&gt; 1172029500 | NISSAN &gt;&gt; 1172016A02 | NISSAN &gt;&gt; 1172005E15 | NISSAN &gt;&gt; 1172005E10 | NISSAN &gt;&gt; 1172005E05 | NISSAN &gt;&gt; 0211790523 | NISSAN &gt;&gt; 1172005E00 | NISSAN &gt;&gt; 0211793523 | NISSAN &gt;&gt; 11920V2000 | NISSAN &gt;&gt; 0211791023 | NISSAN &gt;&gt; 1192028L00 | NISSAN &gt;&gt; 0211790023 | NISSAN &gt;&gt; 1175005E10KE | OPEL &gt;&gt; 9201832 | OPEL &gt;&gt; 1340682 | OPEL &gt;&gt; 4291734 | PEUGEOT &gt;&gt; 645701 | TOYOTA &gt;&gt; 9091602061 | TOYOTA &gt;&gt; 9091602060 | TOYOTA &gt;&gt; 9091602052 | TOYOTA &gt;&gt; 9091602055 | TOYOTA &gt;&gt; 9087108905 | TOYOTA &gt;&gt; 9952210904 | TOYOTA &gt;&gt; 9952210900 | TOYOTA &gt;&gt; 9952210901 | TOYOTA &gt;&gt; 9952210892 | TOYOTA &gt;&gt; 9952210890 | TOYOTA &gt;&gt; 9933210905 | TOYOTA &gt;&gt; 9933260905 | TOYOTA &gt;&gt; 9933210880 | TOYOTA &gt;&gt; 9933210890 | TOYOTA &gt;&gt; 9933200900 | TOYOTA &gt;&gt; 9933200905 | TOYOTA &gt;&gt; 9933200890 | TOYOTA &gt;&gt; 9932200905 | TOYOTA &gt;&gt; 9932200900 | TOYOTA &gt;&gt; 9932200890 | VAUXHALL &gt;&gt; 9201832 | VAUXHALL &gt;&gt; 91145737 | VAUXHALL &gt;&gt; 1340682 | VAUXHALL &gt;&gt; 4291734 | VAUXHALL &gt;&gt; 94222880 | VAUXHALL &gt;&gt; 93891618 | VOLVO &gt;&gt; 978383 | VW &gt;&gt; 063903137 | KIA &gt;&gt; 0K65B15907C | VAG &gt;&gt; 063903137 | VAG &gt;&gt; 035260849A | GENERAL MOTORS &gt;&gt; 91145737 | GENERAL MOTORS &gt;&gt; 8941751700 | GENERAL MOTORS &gt;&gt; 4291734 | GENERAL MOTORS &gt;&gt; 94411860 | GENERAL MOTORS &gt;&gt; 94222880 | GENERAL MOTORS &gt;&gt; 93891618 | GENERAL MOTORS &gt;&gt; 9201832 | CITROEN/PEUGEOT &gt;&gt; 645701 | ACURA &gt;&gt; 38920PG6004 | LUCAS ELECTRICAL &gt;&gt; KEB900 | BOSCH &gt;&gt; 9134162181 | BOSCH &gt;&gt; 9134162180 | BOSCH &gt;&gt; 9124162180 | BOSCH &gt;&gt; 9104162184 | BOSCH &gt;&gt; 9114162180 | BOSCH &gt;&gt; 9104162180 | BOSCH &gt;&gt; 1987947653 | BOSCH &gt;&gt; 1987947404 | CONTITECH &gt;&gt; V617 | CONTITECH &gt;&gt; V2025 | CONTITECH &gt;&gt; 6588643 | CONTITECH &gt;&gt; 6587493 | CONTITECH &gt;&gt; AVX13X900 | CONTITECH &gt;&gt; 6578735 | CONTITECH &gt;&gt; AVX13X910 | CONTITECH &gt;&gt; AV13910 | CONTITECH &gt;&gt; AV13900 | GATES &gt;&gt; 6466MC | DAYCO &gt;&gt; 2420 | DAYCO &gt;&gt; 17355 | DAYCO &gt;&gt; 17353 | DAYCO &gt;&gt; 17350 | DAYCO &gt;&gt; 840SD | DAYCO &gt;&gt; 839 | DAYCO &gt;&gt; 7233D | DAYCO &gt;&gt; 7233 | DAYCO &gt;&gt; 6922 | DAYCO &gt;&gt; 6905 | DAYCO &gt;&gt; 13A0903C | DAYCO &gt;&gt; 13A0900C | DAYCO &gt;&gt; 4706 | DAYCO &gt;&gt; 10A0900C | SKF &gt;&gt; VKMV13AVX905 | SKF &gt;&gt; VKMV13AVX900 | QUINTON HAZELL &gt;&gt; QBB900 | FERODO &gt;&gt; VT900 | FERODO &gt;&gt; V5038 | FERODO &gt;&gt; V1038 | FERODO &gt;&gt; FT900 | FERODO &gt;&gt; FT882 | OPTIBELT &gt;&gt; 2180 | OPTIBELT &gt;&gt; X13X871 | OPTIBELT &gt;&gt; AVX13X900TM | OPTIBELT &gt;&gt; AVX13X900 | OPTIBELT &gt;&gt; 125X900 | MINTEX &gt;&gt; WKT352 | MINTEX &gt;&gt; PWKT900 | ROULUNDS RUBBER &gt;&gt; 2115 | ROULUNDS RUBBER &gt;&gt; 2110 | ROULUNDS RUBBER &gt;&gt; 3A0910 | TRISCAN &gt;&gt; 161250903 | TRISCAN &gt;&gt; 8613X900 | TRISCAN &gt;&gt; 056466MC | TRISCAN &gt;&gt; 14016466MC | TRISCAN &gt;&gt; MZ6466 | TRISCAN &gt;&gt; 13X0900 | TRISCAN &gt;&gt; GA6466MC | JAPANPARTS &gt;&gt; TTK10 | JAPANPARTS &gt;&gt; TTK07 | JAPANPARTS &gt;&gt; TT696 | JAPANPARTS &gt;&gt; JTT696 | JAPANPARTS &gt;&gt; DTWA930 | JAPANPARTS &gt;&gt; DTWA890 | JAPANPARTS &gt;&gt; DT13X915LA | JAPANPARTS &gt;&gt; DT13X900LA | VEYANCE &gt;&gt; 13AV0900HDX2 | VEYANCE &gt;&gt; 13AV0900HD | VEYANCE &gt;&gt; 6764D | VEYANCE &gt;&gt; 13AV0900 | VEYANCE &gt;&gt; 13AV0887 | VEYANCE &gt;&gt; 1101H | VEYANCE &gt;&gt; 1250900 | HUTCHINSON &gt;&gt; AV13885LA900 | HUTCHINSON &gt;&gt; AV13885CR | HUTCHINSON &gt;&gt; 5162 | KLEBER &gt;&gt; 13X905 | KLEBER &gt;&gt; 13X900 | KLEBER &gt;&gt; AV13890 | KLEBER &gt;&gt; AV13885 | KLEBER &gt;&gt; 1386 | UNIPART &gt;&gt; GCB20897 | HAVAM &gt;&gt; VS2111 | HAVAM &gt;&gt; VS2105 | ACDelco &gt;&gt; AB31053 | FLENNOR &gt;&gt; A5506 | FLENNOR &gt;&gt; A5355 | TOPRAN &gt;&gt; 100324</t>
  </si>
  <si>
    <t>Length, mm &gt;&gt; 875 | Width, mm &gt;&gt; 9,5</t>
  </si>
  <si>
    <t>Driven Units &gt;&gt; Driven unit: power-steering pump</t>
  </si>
  <si>
    <t>NISSAN &gt;&gt; 11720D3300 | NISSAN &gt;&gt; 11720D2005 | TOYOTA &gt;&gt; 9932100870 | GATES &gt;&gt; 6215MC | HERTH+BUSS JAKOPARTS &gt;&gt; J1010875 | HERTH+BUSS JAKOPARTS &gt;&gt; J1100875 | JAPANPARTS &gt;&gt; TT296 | JAPANPARTS &gt;&gt; DT10X875 | ASHIKA &gt;&gt; 9402296 | ASHIKA &gt;&gt; 10910X875 | BLUE PRINT &gt;&gt; ADD69602 | NPS &gt;&gt; D111U02 | JAPKO &gt;&gt; 10X875</t>
  </si>
  <si>
    <t>Length, mm &gt;&gt; 825 | Width, mm &gt;&gt; 12,5</t>
  </si>
  <si>
    <t>NISSAN &gt;&gt; 1192004W00 | TOYOTA &gt;&gt; 9091602080 | HYUNDAI &gt;&gt; 2312724010 | GATES &gt;&gt; 6462MC | HERTH+BUSS JAKOPARTS &gt;&gt; J1130825 | JAPANPARTS &gt;&gt; DT13X835LA | ASHIKA &gt;&gt; 10913X835 | BLUE PRINT &gt;&gt; ADN19606 | JAPKO &gt;&gt; 13X835</t>
  </si>
  <si>
    <t>NISSAN &gt;&gt; 11720D2005 | NISSAN &gt;&gt; 11720D3300 | TOYOTA &gt;&gt; 6215MCGATES | TOYOTA &gt;&gt; AVX10X875CONTECH | TOYOTA &gt;&gt; 0520100875MEYLE | TOYOTA &gt;&gt; 9932100870 | TOYOTA &gt;&gt; 1987947626BOSCH | TOYOTA &gt;&gt; J1100875HBJAKOPAR | TOYOTA &gt;&gt; J1100875HBJAKOPA | HYUNDAI &gt;&gt; 2521221220 | GATES &gt;&gt; 6215MC | HERTH+BUSS JAKOPARTS &gt;&gt; J1100875 | HERTH+BUSS JAKOPARTS &gt;&gt; J1010875 | JAPANPARTS &gt;&gt; TT296 | ASHIKA &gt;&gt; 9402296 | NIPPARTS &gt;&gt; J1100875 | BLUE PRINT &gt;&gt; ADD69602 | NPS &gt;&gt; D111U02</t>
  </si>
  <si>
    <t>NISSAN &gt;&gt; 1192004W00 | NISSAN &gt;&gt; 0520130800MEYLE | NISSAN &gt;&gt; J1130800HBJAKOPA | NISSAN &gt;&gt; J1130800HBJAKOPAR | NISSAN &gt;&gt; 1987947740BOSCH | NISSAN &gt;&gt; AVX13X800CONTECH | NISSAN &gt;&gt; 6462MCGATES | NISSAN &gt;&gt; 1987947649BOSCH | TOYOTA &gt;&gt; 9091602080 | HYUNDAI &gt;&gt; 2312724010 | HYUNDAI &gt;&gt; 0211779523 | DAEWOO &gt;&gt; 0211779523 | GATES &gt;&gt; 6462MC | HERTH+BUSS JAKOPARTS &gt;&gt; J1130825 | JAPANPARTS &gt;&gt; DT13X835LA | NIPPARTS &gt;&gt; J1130825 | BLUE PRINT &gt;&gt; ADN19606</t>
  </si>
  <si>
    <t>Length, mm &gt;&gt; 900 | Width, mm &gt;&gt; 13</t>
  </si>
  <si>
    <t>from construction year &gt;&gt; 10/1985 | Driven Units &gt;&gt; Driven unit: aircon compressor</t>
  </si>
  <si>
    <t>DAIHATSU &gt;&gt; 9091602052 | DAIHATSU &gt;&gt; 9091602060 | DAIHATSU &gt;&gt; 9933260891 | DAIHATSU &gt;&gt; 9932200890 | DAIHATSU &gt;&gt; 9933200890 | FIAT &gt;&gt; 4291734 | FORD &gt;&gt; EJ3V0897 | FORD &gt;&gt; 85TF6C301F2A | FORD &gt;&gt; 85TF6C301FA | FORD &gt;&gt; 722F8820DC | FORD &gt;&gt; 742F8620AA | FORD &gt;&gt; 85TF6C301F1A | FORD &gt;&gt; 6158123 | FORD &gt;&gt; 6012012 | FORD &gt;&gt; 6144781 | FORD &gt;&gt; 1511349 | FORD &gt;&gt; 2710E3K532A | HONDA &gt;&gt; 38920PJ59120 | HONDA &gt;&gt; 38920PG60030 | HONDA &gt;&gt; 38920PG6006 | ISUZU &gt;&gt; 8941316290 | ISUZU &gt;&gt; 8941875890 | ISUZU &gt;&gt; 8942228800 | ISUZU &gt;&gt; 8941675890 | ISUZU &gt;&gt; 8924252090 | ISUZU &gt;&gt; 8941116870 | ISUZU &gt;&gt; 8942252090 | MAZDA &gt;&gt; RFG115908 | MAZDA &gt;&gt; RF7118381A | MAZDA &gt;&gt; RF7118381B | MAZDA &gt;&gt; RF7115908 | MAZDA &gt;&gt; RF7118381 | MAZDA &gt;&gt; PN4018381 | MAZDA &gt;&gt; RF2L18380A | MAZDA &gt;&gt; RF2L1838OB | MAZDA &gt;&gt; R2S215907 | MAZDA &gt;&gt; B6S718381A | MAZDA &gt;&gt; B6S718381AB | MAZDA &gt;&gt; B6SF18381A | MAZDA &gt;&gt; B6SF18381B | MERCEDES-BENZ &gt;&gt; 0059977692 | MERCEDES-BENZ &gt;&gt; 69979992 | MERCEDES-BENZ &gt;&gt; 69977492 | MERCEDES-BENZ &gt;&gt; 007753012561 | MERCEDES-BENZ &gt;&gt; A0069977492 | MERCEDES-BENZ &gt;&gt; A007753012561 | MERCEDES-BENZ &gt;&gt; A0069979992 | MERCEDES-BENZ &gt;&gt; A0059970592 | MERCEDES-BENZ &gt;&gt; A0059970892 | MERCEDES-BENZ &gt;&gt; 0069979992 | MERCEDES-BENZ &gt;&gt; 0059970592 | MERCEDES-BENZ &gt;&gt; 0059970892 | MERCEDES-BENZ &gt;&gt; 0069977492 | MITSUBISHI &gt;&gt; MB272651 | MITSUBISHI &gt;&gt; MB958692 | NISSAN &gt;&gt; 11920V2000 | NISSAN &gt;&gt; 1192028L00 | NISSAN &gt;&gt; 1175005E10KE | NISSAN &gt;&gt; 0211788523 | NISSAN &gt;&gt; 1175005E10 | NISSAN &gt;&gt; 1175005E00 | NISSAN &gt;&gt; 11720Y4000 | NISSAN &gt;&gt; 0211793523 | NISSAN &gt;&gt; 0211791023 | NISSAN &gt;&gt; 11720V2010 | NISSAN &gt;&gt; 11720P8000 | NISSAN &gt;&gt; 1172083000 | NISSAN &gt;&gt; 0211790526 | NISSAN &gt;&gt; 1172029500 | NISSAN &gt;&gt; 1172016A02 | NISSAN &gt;&gt; 0211790525 | NISSAN &gt;&gt; 1172005E15 | NISSAN &gt;&gt; 1172005E10 | NISSAN &gt;&gt; 1172005E05 | NISSAN &gt;&gt; 0211790523 | NISSAN &gt;&gt; 1172005E00 | NISSAN &gt;&gt; 0211790023 | PEUGEOT &gt;&gt; 645782 | PEUGEOT &gt;&gt; 645752 | PEUGEOT &gt;&gt; 645701 | PEUGEOT &gt;&gt; 645355 | PORSCHE &gt;&gt; DIN221513X8X850 | RENAULT &gt;&gt; 5000786386 | TOYOTA &gt;&gt; 9952210904 | TOYOTA &gt;&gt; 9952210901 | TOYOTA &gt;&gt; 9952210900 | TOYOTA &gt;&gt; 9952210892 | TOYOTA &gt;&gt; 9933260905 | TOYOTA &gt;&gt; 9952210890 | TOYOTA &gt;&gt; 9933210905 | TOYOTA &gt;&gt; 9933200905 | TOYOTA &gt;&gt; 9933200900 | TOYOTA &gt;&gt; 9933200890 | TOYOTA &gt;&gt; 9932200900 | TOYOTA &gt;&gt; 9932200890 | TOYOTA &gt;&gt; 9091602061 | TOYOTA &gt;&gt; 9091602060 | TOYOTA &gt;&gt; 9091602055 | TOYOTA &gt;&gt; 9091602052 | TOYOTA &gt;&gt; 9087108905 | VW &gt;&gt; 111903137 | KIA &gt;&gt; 0K65B15907C | VAG &gt;&gt; 063903137 | GENERAL MOTORS &gt;&gt; 94411860 | GENERAL MOTORS &gt;&gt; 94222880 | GENERAL MOTORS &gt;&gt; 93891618 | CITROEN/PEUGEOT &gt;&gt; 645701 | LAND ROVER &gt;&gt; 603713 | LEYLAND-INNOCENTI &gt;&gt; 13H2065 | CONTITECH &gt;&gt; AVX13X900 | GATES &gt;&gt; 6466MC | DAYCO &gt;&gt; 13A0900C</t>
  </si>
  <si>
    <t>LYNXauto</t>
  </si>
  <si>
    <t>Width, mm &gt;&gt; 13 | Length, mm &gt;&gt; 900</t>
  </si>
  <si>
    <t>from construction year &gt;&gt; 10/1985 | to construction year &gt;&gt; 09/1990 | Driven Units &gt;&gt; Driven unit: aircon compressor</t>
  </si>
  <si>
    <t>BMW &gt;&gt; 64551734669 | DAIHATSU &gt;&gt; 9091602052 | FORD &gt;&gt; 85TF6C301FA | FORD &gt;&gt; 722F8620DC | FORD &gt;&gt; 85TF6C301F1A | FORD &gt;&gt; 85TF6C301F2A | FORD &gt;&gt; 742F8620AA | FORD &gt;&gt; 6158124 | FORD &gt;&gt; 6144781 | FORD &gt;&gt; 6158123 | FORD &gt;&gt; EJ3V0897 | FORD &gt;&gt; 1511349 | HONDA &gt;&gt; 38920PG6004 | HONDA &gt;&gt; 38920PG6006 | HONDA &gt;&gt; 38920PG6003 | ISUZU &gt;&gt; 8941116870 | ISUZU &gt;&gt; 8941316290 | ISUZU &gt;&gt; 8924252090 | ISUZU &gt;&gt; 8941675890 | ISUZU &gt;&gt; 8942252090 | ISUZU &gt;&gt; 8942228800 | MAZDA &gt;&gt; RF7118381B | MAZDA &gt;&gt; RF7118381C | MAZDA &gt;&gt; RF2L18380B | MAZDA &gt;&gt; RF7118381 | MAZDA &gt;&gt; RF7118381A | MAZDA &gt;&gt; RF7115908 | MAZDA &gt;&gt; R2S215907 | MAZDA &gt;&gt; RF2L18380A | MAZDA &gt;&gt; PN4018381 | MAZDA &gt;&gt; B6SF18381A | MAZDA &gt;&gt; B6SF18381B | MAZDA &gt;&gt; B6S718381B | MAZDA &gt;&gt; B6S718381A | MAZDA &gt;&gt; B61H18381A | MAZDA &gt;&gt; 227618381B | MERCEDES-BENZ &gt;&gt; 0059977692 | MERCEDES-BENZ &gt;&gt; A0059977692 | MITSUBISHI &gt;&gt; MB272651 | MITSUBISHI &gt;&gt; MB167065 | NISSAN &gt;&gt; 1175005E00 | NISSAN &gt;&gt; 0211790525 | NISSAN &gt;&gt; 11720Y4000 | NISSAN &gt;&gt; 11720V2010 | NISSAN &gt;&gt; 0211790523 | NISSAN &gt;&gt; 11720P8000 | NISSAN &gt;&gt; 1172083000 | NISSAN &gt;&gt; 1172029500 | NISSAN &gt;&gt; 0211790023 | NISSAN &gt;&gt; 0211788523 | NISSAN &gt;&gt; 1172016A02 | NISSAN &gt;&gt; 1172005E15 | NISSAN &gt;&gt; 1172005E10 | NISSAN &gt;&gt; 1172005E05 | NISSAN &gt;&gt; 1172005E00 | NISSAN &gt;&gt; 0211793523 | NISSAN &gt;&gt; 11920V2000 | NISSAN &gt;&gt; 0211791023 | NISSAN &gt;&gt; 1192028L00 | NISSAN &gt;&gt; 1175005E10KE | NISSAN &gt;&gt; 0211790526 | NISSAN &gt;&gt; 1175005E10 | OPEL &gt;&gt; 1340682 | TOYOTA &gt;&gt; 9952210901 | TOYOTA &gt;&gt; 9952210904 | TOYOTA &gt;&gt; 9952210892 | TOYOTA &gt;&gt; 9952210900 | TOYOTA &gt;&gt; 9933260905 | TOYOTA &gt;&gt; 9952210890 | TOYOTA &gt;&gt; 9933210890 | TOYOTA &gt;&gt; 9933210905 | TOYOTA &gt;&gt; 9933200905 | TOYOTA &gt;&gt; 9933210880 | TOYOTA &gt;&gt; 9933200890 | TOYOTA &gt;&gt; 9933200900 | TOYOTA &gt;&gt; 9932200890 | TOYOTA &gt;&gt; 9932200900 | TOYOTA &gt;&gt; 9091602061 | TOYOTA &gt;&gt; 9091602060 | TOYOTA &gt;&gt; 9091602055 | TOYOTA &gt;&gt; 9087108905 | VOLVO &gt;&gt; 978383 | KIA &gt;&gt; 0K65B15907C | VAG &gt;&gt; 063903137 | GENERAL MOTORS &gt;&gt; 94411860 | GENERAL MOTORS &gt;&gt; 93891618 | GENERAL MOTORS &gt;&gt; 94222880 | GENERAL MOTORS &gt;&gt; 9201832 | GENERAL MOTORS &gt;&gt; 91145737 | CITROEN/PEUGEOT &gt;&gt; 645701 | BOSCH &gt;&gt; 1987947653 | BOSCH &gt;&gt; 1987947404 | CONTITECH &gt;&gt; AVX13X910 | CONTITECH &gt;&gt; AVX13X900 | GATES &gt;&gt; 6466MC | DAYCO &gt;&gt; 17355 | DAYCO &gt;&gt; 17350 | DAYCO &gt;&gt; 13A0903C | DAYCO &gt;&gt; 13A0900C | OPTIBELT &gt;&gt; AVX13X900TM | OPTIBELT &gt;&gt; AVX13X900 | AE &gt;&gt; SVB13900 | GOODYEAR &gt;&gt; 13AV0900HD | GOODYEAR &gt;&gt; 13AV0900</t>
  </si>
  <si>
    <t>Shaft</t>
  </si>
  <si>
    <t>ERA Benelux</t>
  </si>
  <si>
    <t>KAWE</t>
  </si>
  <si>
    <t>Releaser</t>
  </si>
  <si>
    <t>Parameter,  &gt;&gt; HK</t>
  </si>
  <si>
    <t>NIPPARTS &gt;&gt; J2404007</t>
  </si>
  <si>
    <t>Bearing</t>
  </si>
  <si>
    <t>Clutch</t>
  </si>
  <si>
    <t>Releaser, clucth</t>
  </si>
  <si>
    <t>Tie Rod Axle Joint</t>
  </si>
  <si>
    <t>Outer Thread, mm &gt;&gt; M12X1,25 | Length, mm &gt;&gt; 265</t>
  </si>
  <si>
    <t>Fitting Position &gt;&gt; Left | Fitting Position &gt;&gt; Right | Fitting Position &gt;&gt; Timing End</t>
  </si>
  <si>
    <t>HONDA &gt;&gt; 53521SE0013 | HONDA &gt;&gt; 53521692003 | HONDA &gt;&gt; 53521SE0000 | HONDA &gt;&gt; 53521SE0003 | HONDA &gt;&gt; 53521SA0003 | HONDA &gt;&gt; 53521SE0951 | SPIDAN &gt;&gt; 44228 | LEMFORDER &gt;&gt; 1493302 | LEMFORDER &gt;&gt; 14933 | QUINTON HAZELL &gt;&gt; QR1978S | DELPHI &gt;&gt; TA1145 | TRISCAN &gt;&gt; 850040004 | MOOG &gt;&gt; HOAX2183 | SIDEM &gt;&gt; 47035A | MEYLE &gt;&gt; 31160300001 | JAPANPARTS &gt;&gt; RD403 | OCAP &gt;&gt; 0600988 | OCAP &gt;&gt; 600988 | KAVO PARTS &gt;&gt; STR2003 | TRW &gt;&gt; JAR133 | ASHIKA &gt;&gt; 10304403 | JAPKO &gt;&gt; 103403 | A.B.S. &gt;&gt; 240090 | A.B.S. &gt;&gt; 240100</t>
  </si>
  <si>
    <t>Joint</t>
  </si>
  <si>
    <t>Steering</t>
  </si>
  <si>
    <t>Axle Joint</t>
  </si>
  <si>
    <t>Outer Thread, mm &gt;&gt; M12X1,25 | Length, mm &gt;&gt; 290</t>
  </si>
  <si>
    <t>Fitting Position &gt;&gt; inner wheel side | Fitting Position &gt;&gt; Left | Fitting Position &gt;&gt; Right</t>
  </si>
  <si>
    <t>HONDA &gt;&gt; 53521SB2003 | HONDA &gt;&gt; 53521SB2013 | SPIDAN &gt;&gt; 44228 | RUVILLE &gt;&gt; 917411 | DELPHI &gt;&gt; TA1297 | TRISCAN &gt;&gt; 850040005 | MOOG &gt;&gt; HOAX2352 | SIDEM &gt;&gt; 47035A | MEYLE &gt;&gt; 31160300013 | JAPANPARTS &gt;&gt; RD405 | KAVO PARTS &gt;&gt; STR2002 | TRW &gt;&gt; JAR334 | ASHIKA &gt;&gt; 10304405 | JAPKO &gt;&gt; 103405 | A.B.S. &gt;&gt; 240089</t>
  </si>
  <si>
    <t>Fitting Position &gt;&gt; Timing End | Fitting Position &gt;&gt; Right | Fitting Position &gt;&gt; Left</t>
  </si>
  <si>
    <t>HONDA &gt;&gt; 53521SE0951 | HONDA &gt;&gt; 53521SA0003 | HONDA &gt;&gt; 53521SE0003 | HONDA &gt;&gt; 53521SE0013 | HONDA &gt;&gt; 53521SE0000 | HONDA &gt;&gt; 53521692003 | SPIDAN &gt;&gt; 44228 | LEMFORDER &gt;&gt; 1493302 | LEMFORDER &gt;&gt; 14933 | QUINTON HAZELL &gt;&gt; QR1978S | DELPHI &gt;&gt; TA1145 | TRISCAN &gt;&gt; 850040004 | MOOG &gt;&gt; HOAX2183 | SIDEM &gt;&gt; 47035A | MEYLE &gt;&gt; 31160300001 | JAPANPARTS &gt;&gt; RD403 | OCAP &gt;&gt; 0600988 | OCAP &gt;&gt; 600988 | KAVO PARTS &gt;&gt; STR2003 | TRW &gt;&gt; JAR133 | ASHIKA &gt;&gt; 10304403 | NIPPARTS &gt;&gt; J4844008 | A.B.S. &gt;&gt; 240100 | A.B.S. &gt;&gt; 240090</t>
  </si>
  <si>
    <t>PROTECHNIC</t>
  </si>
  <si>
    <t>Brake Shoe Set</t>
  </si>
  <si>
    <t>Inner Br. Dr. Diam., mm &gt;&gt; 200 | Width, mm &gt;&gt; 30 | Brake System,  &gt;&gt; AKEBONO | Weight, kg &gt;&gt; 1,136</t>
  </si>
  <si>
    <t>Fitting Position &gt;&gt; Rear Axle</t>
  </si>
  <si>
    <t>HONDA &gt;&gt; 43153SK7003 | HONDA &gt;&gt; 43153SD9671 | HONDA &gt;&gt; 43153SH5013 | HONDA &gt;&gt; 43153SH5A02 | HONDA &gt;&gt; 43153SH5G01 | HONDA &gt;&gt; 43153SH5A01 | HONDA &gt;&gt; 43153SD9672 | HONDA &gt;&gt; 43153SH3A02 | HONDA &gt;&gt; 43153SH5003 | HONDA &gt;&gt; 43153SK7013 | HONDA &gt;&gt; 43153SB6003 | HONDA &gt;&gt; 43153SB6671 | HONDA &gt;&gt; 43153SD9003 | HONDA &gt;&gt; 43153SN4003 | ATE &gt;&gt; 650213 | ATE &gt;&gt; 03013702132 | LuK &gt;&gt; 810040435 | PAGID &gt;&gt; H8445 | VALEO &gt;&gt; 562543 | BOSCH &gt;&gt; 0986487356 | LEMFORDER &gt;&gt; 20206 | TEXTAR &gt;&gt; 98101037104 | TEXTAR &gt;&gt; 91037100 | TEXTAR &gt;&gt; 9810103710004 | JURID &gt;&gt; 361605J | BENDIX &gt;&gt; 361605B | BENDIX &gt;&gt; 338571B | HERTH+BUSS JAKOPARTS &gt;&gt; J3504009 | QUINTON HAZELL &gt;&gt; BS712 | QUINTON HAZELL &gt;&gt; BBF712 | FERODO &gt;&gt; FSB220 | MINTEX &gt;&gt; MFR206 | PEX &gt;&gt; 6132 | DELPHI &gt;&gt; LS1332 | MAGNETI MARELLI &gt;&gt; BSS6332 | MAGNETI MARELLI &gt;&gt; 360219196332 | ROULUNDS RUBBER &gt;&gt; 680465 | METELLI &gt;&gt; 530151 | NK &gt;&gt; 2726435 | OPTIMAL &gt;&gt; BB3500 | KBP &gt;&gt; BS2903 | ROADHOUSE &gt;&gt; 435000 | REMSA &gt;&gt; 435000 | A.B.S. &gt;&gt; 8651 | KOIVUNEN OY &gt;&gt; 4834408 | LPR &gt;&gt; 04820 | TRUSTING &gt;&gt; 044008 | MOPROD &gt;&gt; MBS418 | UNIPART &gt;&gt; GBS1173AF | TRW &gt;&gt; GS8201 | BRADI &gt;&gt; G3607 | FMSI-VERBAND &gt;&gt; S545 | HP (ZEBRA) &gt;&gt; 1392 | ACDelco &gt;&gt; 159 | ASHIKA &gt;&gt; 5504495 | ASHIKA &gt;&gt; 5504409 | BECK/ARNLEY &gt;&gt; 0812404 | NECTO &gt;&gt; N1361 | NIPPARTS &gt;&gt; J3504009 | MGA &gt;&gt; M661 | RHIAG &gt;&gt; GF43500 | Brake ENGINEERING &gt;&gt; SH1201 | APEC braking &gt;&gt; SHU411 | ABEX &gt;&gt; H1361 | GIRLING &gt;&gt; 5182019 | KAWE &gt;&gt; 04820 | sbs &gt;&gt; 18492726435 | sbs &gt;&gt; SBS435 | E.T.F. &gt;&gt; 090326 | CIFAM &gt;&gt; 153151 | MALO &gt;&gt; G2726435 | DEX &gt;&gt; 2044008 | WOKING &gt;&gt; 435000 | SAMKO &gt;&gt; 84820 | RAICAM &gt;&gt; 2482 | FREN-J &gt;&gt; MG465 | MOTAQUIP &gt;&gt; VBS491 | VAPSINT &gt;&gt; 835 | VEMA &gt;&gt; 84482 | LEADER PARTS &gt;&gt; 20801841 | CHASE &gt;&gt; S579</t>
  </si>
  <si>
    <t>Brake Shoe Kit</t>
  </si>
  <si>
    <t>Brake System</t>
  </si>
  <si>
    <t>JURID</t>
  </si>
  <si>
    <t>Fitting Position,  &gt;&gt; Rear Axle | O, mm &gt;&gt; 200 | Width, mm &gt;&gt; 30 | Brake System,  &gt;&gt; Akebono</t>
  </si>
  <si>
    <t>HONDA &gt;&gt; 43153SB6003 | HONDA &gt;&gt; 43153SD9672 | HONDA &gt;&gt; 43153SD9S05 | HONDA &gt;&gt; 43153SH3A02 | HONDA &gt;&gt; 43153SD9N51 | HONDA &gt;&gt; 43153SH5003 | HONDA &gt;&gt; 43153SD9003 | HONDA &gt;&gt; 43153SD9671 | HONDA &gt;&gt; 43153SH5G01 | HONDA &gt;&gt; 43153SN4003 | HONDA &gt;&gt; 43153SH5013 | HONDA &gt;&gt; 43153SB6671 | HONDA &gt;&gt; 43153SH5A02 | HONDA &gt;&gt; 43153SH5A01 | ATE &gt;&gt; 650213 | ATE &gt;&gt; 03013702132 | PAGID &gt;&gt; H8445 | LUCAS ELECTRICAL &gt;&gt; GS8201 | VALEO &gt;&gt; 562543 | BOSCH &gt;&gt; 0986487356 | TEXTAR &gt;&gt; 91037100 | TEXTAR &gt;&gt; 981010371 | JURID &gt;&gt; 361605J | BENDIX &gt;&gt; 361605B | HERTH+BUSS JAKOPARTS &gt;&gt; J3504009 | FERODO &gt;&gt; FSB220 | MINTEX &gt;&gt; MFR206 | PEX &gt;&gt; 6132 | DELPHI &gt;&gt; LS1332 | METZGER &gt;&gt; MG465 | TRW &gt;&gt; GS8201 | TRW &gt;&gt; GS6210 | HP (ZEBRA) &gt;&gt; 1392 | ROULUNDS BRAKING &gt;&gt; 680465 | NECTO &gt;&gt; N1361 | NIPPARTS &gt;&gt; J3504009 | sbs &gt;&gt; 18492726435 | sbs &gt;&gt; 18492726418 | LUCAS &gt;&gt; GS8201</t>
  </si>
  <si>
    <t>FERODO</t>
  </si>
  <si>
    <t>Fitting Position,  &gt;&gt; Rear Axle | Thickness/Strength, mm &gt;&gt; 4 | Width, mm &gt;&gt; 30 | Weight, kg &gt;&gt; 1.136 | Drum O,  &gt;&gt; 200 | Brake System,  &gt;&gt; Akebono</t>
  </si>
  <si>
    <t>HONDA &gt;&gt; 43153SH3A02 | HONDA &gt;&gt; 43153SD9671 | HONDA &gt;&gt; 43153SD9672 | HONDA &gt;&gt; 43153SH5A01 | HONDA &gt;&gt; 43153SB6671 | ATE &gt;&gt; 03013702132 | VALEO &gt;&gt; 562543 | JURID &gt;&gt; 361605J | BENDIX &gt;&gt; 361605B | MINTEX &gt;&gt; MFR206 | DELPHI &gt;&gt; LS1332 | LPR &gt;&gt; 04820 | UNIPART &gt;&gt; GBS1173 | TRW &gt;&gt; GS8201 | NECTO &gt;&gt; N1361 | APEC braking &gt;&gt; SHU411 | BLUE PRINT &gt;&gt; ADH24107 | MOTAQUIP &gt;&gt; VBS400 | A.B.S. &gt;&gt; 8651</t>
  </si>
  <si>
    <t>BREMBO</t>
  </si>
  <si>
    <t>O, mm &gt;&gt; 200 | for Art.No.,  &gt;&gt; S 28 504 | Width, mm &gt;&gt; 31 | Brake System,  &gt;&gt; Akebono</t>
  </si>
  <si>
    <t>HONDA &gt;&gt; 43153SB6003 | HONDA &gt;&gt; 43153SD9672 | HONDA &gt;&gt; 43153SH5003 | HONDA &gt;&gt; 43153SH5013 | HONDA &gt;&gt; 43153SH3A02 | HONDA &gt;&gt; 43153SH5A01 | HONDA &gt;&gt; 43153SD9003 | HONDA &gt;&gt; 43153SD9671 | HONDA &gt;&gt; 43153SH5A02 | HONDA &gt;&gt; 43153SB6671 | HONDA &gt;&gt; 43153SN4003 | HONDA &gt;&gt; 43153SH5G01 | ATE &gt;&gt; 03013702132 | TEXTAR &gt;&gt; 91010300 | TEXTAR &gt;&gt; 91037100 | JURID &gt;&gt; 361605J | BENDIX &gt;&gt; 361605B | FERODO &gt;&gt; FSB220 | MINTEX &gt;&gt; MFR206 | DELPHI &gt;&gt; LS1332 | MAGNETI MARELLI &gt;&gt; 360219196332 | ROADHOUSE &gt;&gt; 435000 | REMSA &gt;&gt; 435000 | A.B.S. &gt;&gt; 8651 | LPR &gt;&gt; 04820 | TRUSTING &gt;&gt; 044008 | OBTEC A/S &gt;&gt; 919435 | ROULUNDS BRAKING &gt;&gt; 8335A | MGA &gt;&gt; M661 | Brake ENGINEERING &gt;&gt; SH1201 | APEC braking &gt;&gt; SHU411 | ABEX &gt;&gt; H1361 | sbs &gt;&gt; 18492726435 | FREN-J &gt;&gt; MG465 | BLUE PRINT &gt;&gt; ADH24107 | FIRST LINE &gt;&gt; FBS241 | MOTAQUIP &gt;&gt; VBS400 | LUCAS &gt;&gt; GS8201</t>
  </si>
  <si>
    <t>METELLI</t>
  </si>
  <si>
    <t>HONDA &gt;&gt; 43153SH5A02 | HONDA &gt;&gt; 43153SB6671 | HONDA &gt;&gt; 43153SH3A02 | HONDA &gt;&gt; 43153SH5013 | HONDA &gt;&gt; 43153SH5A01 | HONDA &gt;&gt; 43153SH5003 | HONDA &gt;&gt; 43153SD9003 | HONDA &gt;&gt; 43153SD9671 | HONDA &gt;&gt; 43153SD9672 | HONDA &gt;&gt; 43153SH5G01 | HONDA &gt;&gt; 43153SB6003 | HONDA &gt;&gt; 43153SK7003 | HONDA &gt;&gt; 43153SN4003 | HONDA &gt;&gt; 43153SK7013 | ATE &gt;&gt; 650213 | ATE &gt;&gt; 03013702132 | PAGID &gt;&gt; H8445 | VALEO &gt;&gt; 562543 | BOSCH &gt;&gt; 0986487356 | LEMFORDER &gt;&gt; 20206 | TEXTAR &gt;&gt; 98101037104 | TEXTAR &gt;&gt; 91037100 | TEXTAR &gt;&gt; 9810103710004 | JURID &gt;&gt; 361605J | BENDIX &gt;&gt; 361605B | BENDIX &gt;&gt; 338571B | QUINTON HAZELL &gt;&gt; BS712 | QUINTON HAZELL &gt;&gt; BBF712 | FERODO &gt;&gt; FSB220 | BREMBO &gt;&gt; S28504 | MINTEX &gt;&gt; MFR206 | PEX &gt;&gt; 6132 | DELPHI &gt;&gt; LS1332 | MAGNETI MARELLI &gt;&gt; BSS6332 | MAGNETI MARELLI &gt;&gt; 360219196332 | ROULUNDS RUBBER &gt;&gt; 680465 | TRISCAN &gt;&gt; 810040435 | NK &gt;&gt; 2726435 | OPTIMAL &gt;&gt; BB3500 | KBP &gt;&gt; BS2903 | ROADHOUSE &gt;&gt; 435000 | REMSA &gt;&gt; 435000 | JAPANPARTS &gt;&gt; GF409AF | JAPANPARTS &gt;&gt; GF495AF | QH Benelux &gt;&gt; 1392 | LPR &gt;&gt; 04820 | TRUSTING &gt;&gt; 044008 | MOPROD &gt;&gt; MBS418 | UNIPART &gt;&gt; GBS1173AF | TRW &gt;&gt; GS8201 | BRADI &gt;&gt; G3607 | FMSI-VERBAND &gt;&gt; S545 | ACDelco &gt;&gt; 159 | MK Kashiyama &gt;&gt; K5519 | ASHIKA &gt;&gt; 5504495 | ASHIKA &gt;&gt; 5504409 | BECK/ARNLEY &gt;&gt; 0812404 | NECTO &gt;&gt; N1361 | NIPPARTS &gt;&gt; J3504009 | MGA &gt;&gt; M661 | RHIAG &gt;&gt; GF43500 | Brake ENGINEERING &gt;&gt; SH1201 | APEC braking &gt;&gt; SHU411 | ABEX &gt;&gt; H1361 | GIRLING &gt;&gt; 5182019 | KAWE &gt;&gt; 04820 | fri.tech. &gt;&gt; 1044008 | sbs &gt;&gt; 18492726435 | sbs &gt;&gt; SBS435 | E.T.F. &gt;&gt; 090326 | CIFAM &gt;&gt; 153151 | MALO &gt;&gt; G2726435 | DEX &gt;&gt; 2044008 | WOKING &gt;&gt; 435000 | SAMKO &gt;&gt; 84820 | RAICAM &gt;&gt; 2482 | FREN-J &gt;&gt; MG465 | BLUE PRINT &gt;&gt; ADH24107 | MOTAQUIP &gt;&gt; VBS491 | ASHUKI &gt;&gt; 10509004 | VAPSINT &gt;&gt; 835 | VEMA &gt;&gt; 84482 | LEADER PARTS &gt;&gt; 20801841 | CHASE &gt;&gt; S579 | A.B.S. &gt;&gt; 8651 | STC &gt;&gt; S482</t>
  </si>
  <si>
    <t>LPR</t>
  </si>
  <si>
    <t>O, mm &gt;&gt; 200 | Width, mm &gt;&gt; 31 | for Art.No.,  &gt;&gt; 04820 | Brake System,  &gt;&gt; AKEBONO</t>
  </si>
  <si>
    <t>HONDA &gt;&gt; 43153SH5013 | HONDA &gt;&gt; 43153SD9671 | HONDA &gt;&gt; 43153SH3A02 | HONDA &gt;&gt; 43153SH5003 | HONDA &gt;&gt; 43153SD9672 | HONDA &gt;&gt; 43153SH5A01 | HONDA &gt;&gt; 43153SB6671 | HONDA &gt;&gt; 43153SD9003 | HONDA &gt;&gt; 43153SN4003 | HONDA &gt;&gt; 43153SB6003 | HONDA &gt;&gt; 43153SH5A02 | HONDA &gt;&gt; 43153SH5G01 | ATE &gt;&gt; 03013702132 | TEXTAR &gt;&gt; 91037100 | TEXTAR &gt;&gt; 91010300 | JURID &gt;&gt; 361605J | BENDIX &gt;&gt; 361605B | FERODO &gt;&gt; FSB220 | BREMBO &gt;&gt; S28504 | MINTEX &gt;&gt; MFR206 | DELPHI &gt;&gt; LS1332 | MAGNETI MARELLI &gt;&gt; BSS6332 | MAGNETI MARELLI &gt;&gt; 360219196332 | ROULUNDS RUBBER &gt;&gt; 8335A | NK &gt;&gt; 2726435 | ROADHOUSE &gt;&gt; 435000 | REMSA &gt;&gt; 435000 | A.B.S. &gt;&gt; 8651 | TRUSTING &gt;&gt; 044008 | TRW &gt;&gt; GS8201 | BRECO &gt;&gt; S28504 | OBTEC A/S &gt;&gt; 919435 | MGA &gt;&gt; M661 | Brake ENGINEERING &gt;&gt; SH1201 | APEC braking &gt;&gt; SHU411 | ABEX &gt;&gt; H1361 | GIRLING &gt;&gt; 5182019 | sbs &gt;&gt; 18492726435 | SAMKO &gt;&gt; 84820 | RAICAM &gt;&gt; 2482 | FREN-J &gt;&gt; MG465 | BLUE PRINT &gt;&gt; ADH24107 | MOTAQUIP &gt;&gt; VBS400</t>
  </si>
  <si>
    <t>TRUSTING</t>
  </si>
  <si>
    <t>Width, mm &gt;&gt; 30 | Brake System,  &gt;&gt; AKEBONO | Weight, kg &gt;&gt; 1,136 | Inner Br. Dr. Diam., mm &gt;&gt; 200</t>
  </si>
  <si>
    <t>HONDA &gt;&gt; 43153SK7003 | HONDA &gt;&gt; 43153SD9671 | HONDA &gt;&gt; 43153SH5013 | HONDA &gt;&gt; 43153SH5A02 | HONDA &gt;&gt; 43153SH5G01 | HONDA &gt;&gt; 43153SH5A01 | HONDA &gt;&gt; 43153SD9672 | HONDA &gt;&gt; 43153SH3A02 | HONDA &gt;&gt; 43153SH5003 | HONDA &gt;&gt; 43153SK7013 | HONDA &gt;&gt; 43153SB6003 | HONDA &gt;&gt; 43153SB6671 | HONDA &gt;&gt; 43153SD9003 | HONDA &gt;&gt; 43153SN4003 | ATE &gt;&gt; 650213 | ATE &gt;&gt; 03013702132 | PAGID &gt;&gt; H8445 | VALEO &gt;&gt; 562543 | BOSCH &gt;&gt; 0986487356 | LEMFORDER &gt;&gt; 20206 | TEXTAR &gt;&gt; 98101037104 | TEXTAR &gt;&gt; 91037100 | TEXTAR &gt;&gt; 9810103710004 | JURID &gt;&gt; 361605J | BENDIX &gt;&gt; 361605B | BENDIX &gt;&gt; 338571B | HERTH+BUSS JAKOPARTS &gt;&gt; J3504009 | QUINTON HAZELL &gt;&gt; BS712 | QUINTON HAZELL &gt;&gt; BBF712 | FERODO &gt;&gt; FSB220 | BREMBO &gt;&gt; S28504 | MINTEX &gt;&gt; MFR206 | PEX &gt;&gt; 6132 | DELPHI &gt;&gt; LS1332 | MAGNETI MARELLI &gt;&gt; BSS6332 | MAGNETI MARELLI &gt;&gt; 360219196332 | ROULUNDS RUBBER &gt;&gt; 680465 | TRISCAN &gt;&gt; 810040435 | METELLI &gt;&gt; 530151 | NK &gt;&gt; 2726435 | OPTIMAL &gt;&gt; BB3500 | KBP &gt;&gt; BS2903 | ROADHOUSE &gt;&gt; 435000 | REMSA &gt;&gt; 435000 | JAPANPARTS &gt;&gt; GF495AF | JAPANPARTS &gt;&gt; GF409AF | A.B.S. &gt;&gt; 8651 | KOIVUNEN OY &gt;&gt; 4834408 | LPR &gt;&gt; 04820 | MOPROD &gt;&gt; MBS418 | UNIPART &gt;&gt; GBS1173AF | TRW &gt;&gt; GS8201 | BRADI &gt;&gt; G3607 | FMSI-VERBAND &gt;&gt; S545 | HP (ZEBRA) &gt;&gt; 1392 | ACDelco &gt;&gt; 159 | ASHIKA &gt;&gt; 5504495 | ASHIKA &gt;&gt; 5504409 | BECK/ARNLEY &gt;&gt; 0812404 | NECTO &gt;&gt; N1361 | NIPPARTS &gt;&gt; J3504009 | MGA &gt;&gt; M661 | RHIAG &gt;&gt; GF43500 | Brake ENGINEERING &gt;&gt; SH1201 | APEC braking &gt;&gt; SHU411 | ABEX &gt;&gt; H1361 | GIRLING &gt;&gt; 5182019 | KAWE &gt;&gt; 04820 | sbs &gt;&gt; 18492726435 | sbs &gt;&gt; SBS435 | E.T.F. &gt;&gt; 090326 | CIFAM &gt;&gt; 153151 | MALO &gt;&gt; G2726435 | DEX &gt;&gt; 2044008 | WOKING &gt;&gt; 435000 | SAMKO &gt;&gt; 84820 | RAICAM &gt;&gt; 2482 | FREN-J &gt;&gt; MG465 | BLUE PRINT &gt;&gt; ADH24107 | MOTAQUIP &gt;&gt; VBS491 | ASHUKI &gt;&gt; 10509004 | VAPSINT &gt;&gt; 835 | VEMA &gt;&gt; 84482 | LEADER PARTS &gt;&gt; 20801841 | CHASE &gt;&gt; S579</t>
  </si>
  <si>
    <t>NECTO</t>
  </si>
  <si>
    <t>HONDA &gt;&gt; 43153SD9671 | HONDA &gt;&gt; 43153SB6671 | HONDA &gt;&gt; 43153SH5G01 | HONDA &gt;&gt; 43153SH3A02 | HONDA &gt;&gt; 43153SH5A01 | HONDA &gt;&gt; 43153SD9672 | HONDA &gt;&gt; 43153SD9N51 | ATE &gt;&gt; 03013702132 | VALEO &gt;&gt; 562543 | TEXTAR &gt;&gt; 98101037104 | JURID &gt;&gt; 361605J | BENDIX &gt;&gt; 361605B | FERODO &gt;&gt; FSB220 | MINTEX &gt;&gt; MFR206 | DELPHI &gt;&gt; LS1332 | LPR &gt;&gt; 04820 | UNIPART &gt;&gt; GBS1173 | TRW &gt;&gt; GS8201 | NECTO &gt;&gt; N1361 | APEC braking &gt;&gt; SHU411 | BLUE PRINT &gt;&gt; ADH24107 | MOTAQUIP &gt;&gt; VBS400 | A.B.S. &gt;&gt; 8651</t>
  </si>
  <si>
    <t>O, mm &gt;&gt; 200 | Width, mm &gt;&gt; 30</t>
  </si>
  <si>
    <t>HONDA &gt;&gt; 43153SB6003 | HONDA &gt;&gt; 43153SD9003 | HONDA &gt;&gt; 43153SD9671 | HONDA &gt;&gt; 43153SK7013 | HONDA &gt;&gt; 43153SK7003 | HONDA &gt;&gt; 43153SH5A02 | HONDA &gt;&gt; 43153SH5G01 | HONDA &gt;&gt; 43153SD9672 | HONDA &gt;&gt; 43153SB6671 | HONDA &gt;&gt; 43153SH5A01 | HONDA &gt;&gt; 43153SH5013 | HONDA &gt;&gt; 43153SN4003 | HONDA &gt;&gt; 43153SH5003 | VALEO &gt;&gt; 562543 | BOSCH &gt;&gt; 0986487356 | BENDIX &gt;&gt; 361605B | BENDIX &gt;&gt; 361383B | HERTH+BUSS JAKOPARTS &gt;&gt; J3504009 | QUINTON HAZELL &gt;&gt; BS712 | FERODO &gt;&gt; FSB220 | MINTEX &gt;&gt; MFR206 | DELPHI &gt;&gt; LS1332 | KAVO PARTS &gt;&gt; BS2903 | TRW &gt;&gt; GS8201 | MK Kashiyama &gt;&gt; K5519 | BLUE PRINT &gt;&gt; ADH24107 | NPS &gt;&gt; H350A09 | A.B.S. &gt;&gt; 8651</t>
  </si>
  <si>
    <t>HONDA &gt;&gt; 43153SH5013 | HONDA &gt;&gt; 43153SD9671 | HONDA &gt;&gt; 43153SH3A02 | HONDA &gt;&gt; 43153SH5003 | HONDA &gt;&gt; 43153SD9672 | HONDA &gt;&gt; 43153SH5A01 | HONDA &gt;&gt; 43153SB6671 | HONDA &gt;&gt; 43153SD9003 | HONDA &gt;&gt; 43153SN4003 | HONDA &gt;&gt; 43153SB6003 | HONDA &gt;&gt; 43153SH5A02 | HONDA &gt;&gt; 43153SH5G01 | ATE &gt;&gt; 03013702132 | TEXTAR &gt;&gt; 91037100 | TEXTAR &gt;&gt; 91010300 | JURID &gt;&gt; 361605J | BENDIX &gt;&gt; 361605B | FERODO &gt;&gt; FSB220 | BREMBO &gt;&gt; S28504 | MINTEX &gt;&gt; MFR206 | DELPHI &gt;&gt; LS1332 | MAGNETI MARELLI &gt;&gt; BSS6332 | MAGNETI MARELLI &gt;&gt; 360219196332 | ROULUNDS RUBBER &gt;&gt; 8335A | NK &gt;&gt; 2726435 | ROADHOUSE &gt;&gt; 435000 | REMSA &gt;&gt; 435000 | A.B.S. &gt;&gt; 8651 | TRUSTING &gt;&gt; 044008 | TRW &gt;&gt; GS8201 | BRECO &gt;&gt; S28504 | OBTEC A/S &gt;&gt; 919435 | MGA &gt;&gt; M661 | Brake ENGINEERING &gt;&gt; SH1201 | APEC braking &gt;&gt; SHU411 | ABEX &gt;&gt; H1361 | sbs &gt;&gt; 18492726435 | RAICAM &gt;&gt; 2482 | FREN-J &gt;&gt; MG465 | BLUE PRINT &gt;&gt; ADH24107 | MOTAQUIP &gt;&gt; VBS400</t>
  </si>
  <si>
    <t>fri.tech.</t>
  </si>
  <si>
    <t>CIFAM</t>
  </si>
  <si>
    <t>HONDA &gt;&gt; 43153SH5G01 | HONDA &gt;&gt; 43153SD9003 | HONDA &gt;&gt; 43153SH5003 | HONDA &gt;&gt; 43153SH5A01 | HONDA &gt;&gt; 43153SH5A02 | HONDA &gt;&gt; 43153SH5013 | HONDA &gt;&gt; 43153SD9671 | HONDA &gt;&gt; 43153SD9672 | HONDA &gt;&gt; 43153SH3A02 | HONDA &gt;&gt; 43153SK7003 | HONDA &gt;&gt; 43153SB6003 | HONDA &gt;&gt; 43153SB6671 | HONDA &gt;&gt; 43153SK7013 | HONDA &gt;&gt; 43153SN4003 | ATE &gt;&gt; 650213 | ATE &gt;&gt; 03013702132 | PAGID &gt;&gt; H8445 | VALEO &gt;&gt; 562543 | BOSCH &gt;&gt; 0986487356 | LEMFORDER &gt;&gt; 20206 | TEXTAR &gt;&gt; 98101037104 | TEXTAR &gt;&gt; 9810103710004 | TEXTAR &gt;&gt; 91037100 | JURID &gt;&gt; 361605J | BENDIX &gt;&gt; 361605B | BENDIX &gt;&gt; 338571B | QUINTON HAZELL &gt;&gt; BS712 | QUINTON HAZELL &gt;&gt; BBF712 | FERODO &gt;&gt; FSB220 | BREMBO &gt;&gt; S28504 | MINTEX &gt;&gt; MFR206 | PEX &gt;&gt; 6132 | DELPHI &gt;&gt; LS1332 | MAGNETI MARELLI &gt;&gt; BSS6332 | MAGNETI MARELLI &gt;&gt; 360219196332 | ROULUNDS RUBBER &gt;&gt; 680465 | TRISCAN &gt;&gt; 810040435 | METELLI &gt;&gt; 530151 | NK &gt;&gt; 2726435 | OPTIMAL &gt;&gt; BB3500 | KBP &gt;&gt; BS2903 | ROADHOUSE &gt;&gt; 435000 | REMSA &gt;&gt; 435000 | JAPANPARTS &gt;&gt; GF409AF | JAPANPARTS &gt;&gt; GF495AF | QH Benelux &gt;&gt; 1392 | LPR &gt;&gt; 04820 | TRUSTING &gt;&gt; 044008 | MOPROD &gt;&gt; MBS418 | UNIPART &gt;&gt; GBS1173AF | TRW &gt;&gt; GS8201 | BRADI &gt;&gt; G3607 | FMSI-VERBAND &gt;&gt; S545 | ACDelco &gt;&gt; 159 | MK Kashiyama &gt;&gt; K5519 | ASHIKA &gt;&gt; 5504495 | ASHIKA &gt;&gt; 5504409 | BECK/ARNLEY &gt;&gt; 0812404 | NECTO &gt;&gt; N1361 | NIPPARTS &gt;&gt; J3504009 | MGA &gt;&gt; M661 | RHIAG &gt;&gt; GF43500 | Brake ENGINEERING &gt;&gt; SH1201 | APEC braking &gt;&gt; SHU411 | ABEX &gt;&gt; H1361 | GIRLING &gt;&gt; 5182019 | KAWE &gt;&gt; 04820 | fri.tech. &gt;&gt; 1044008 | sbs &gt;&gt; 18492726435 | sbs &gt;&gt; SBS435 | E.T.F. &gt;&gt; 090326 | MALO &gt;&gt; G2726435 | DEX &gt;&gt; 2044008 | WOKING &gt;&gt; 435000 | SAMKO &gt;&gt; 84820 | RAICAM &gt;&gt; 2482 | FREN-J &gt;&gt; MG465 | BLUE PRINT &gt;&gt; ADH24107 | MOTAQUIP &gt;&gt; VBS491 | ASHUKI &gt;&gt; 10509004 | VAPSINT &gt;&gt; 835 | VEMA &gt;&gt; 84482 | LEADER PARTS &gt;&gt; 20801841 | CHASE &gt;&gt; S579 | A.B.S. &gt;&gt; 8651 | STC &gt;&gt; S482</t>
  </si>
  <si>
    <t>Fitting Position,  &gt;&gt; Rear Axle | O, mm &gt;&gt; 200 | Width, mm &gt;&gt; 30 | Weight, kg &gt;&gt; 1,166 | Quantity required,  &gt;&gt; 1</t>
  </si>
  <si>
    <t>HONDA &gt;&gt; 43153SH5013 | HONDA &gt;&gt; 0986487356BOSCH | HONDA &gt;&gt; 43153SD9672 | HONDA &gt;&gt; 43153SD9SB6 | HONDA &gt;&gt; 43153SH5003 | HONDA &gt;&gt; BS2903KBP | HONDA &gt;&gt; 91037100TEXTAR | HONDA &gt;&gt; AY360KE008 | HONDA &gt;&gt; 43153SB6003 | HONDA &gt;&gt; 43153SD9003 | HONDA &gt;&gt; 43153SD9671 | HONDA &gt;&gt; 8651ABS | HONDA &gt;&gt; 8561ABS | HONDA &gt;&gt; 43153SB6671 | HONDA &gt;&gt; 43153SH5A01 | HONDA &gt;&gt; LS1332DELPHI | HONDA &gt;&gt; 43053SH5505 | HONDA &gt;&gt; 4305SN4000 | HONDA &gt;&gt; 562543VALEO | HONDA &gt;&gt; 43053SB6307 | HONDA &gt;&gt; FSB220FERODOBERAL | HONDA &gt;&gt; 43153SK7003 | HONDA &gt;&gt; 43153SN4003 | HONDA &gt;&gt; J3504009HBJAKOPA | HONDA &gt;&gt; 43153SK7013 | HONDA &gt;&gt; 43153SH5A02 | HONDA &gt;&gt; 43153SH5G01 | HONDA &gt;&gt; GS8201TRW | SPIDAN &gt;&gt; 31305 | PAGID &gt;&gt; H8445 | VALEO &gt;&gt; 562543 | BOSCH &gt;&gt; 0986487356 | LEMFORDER &gt;&gt; 20206 | TEXTAR &gt;&gt; 91037100 | JURID &gt;&gt; 361605J | BENDIX &gt;&gt; 361605B | BENDIX &gt;&gt; 361605 | BENDIX &gt;&gt; 361383B | HERTH+BUSS JAKOPARTS &gt;&gt; J3504009 | QUINTON HAZELL &gt;&gt; BS712 | FERODO &gt;&gt; FSB220 | BREMBO &gt;&gt; S28504 | MINTEX &gt;&gt; MFR206 | PEX &gt;&gt; 6132 | ZIMMERMANN &gt;&gt; 109901201 | DELPHI &gt;&gt; LS1332 | MAGNETI MARELLI &gt;&gt; 360219196332 | ROULUNDS RUBBER &gt;&gt; 680465 | TRISCAN &gt;&gt; 810040435 | METELLI &gt;&gt; 530151 | NK &gt;&gt; 2726435 | OPTIMAL &gt;&gt; BB3500 | ROADHOUSE &gt;&gt; 435000 | REMSA &gt;&gt; 435000 | JAPANPARTS &gt;&gt; GF409AF | QH Benelux &gt;&gt; 1392 | QH Benelux &gt;&gt; HP1310 | A.B.S. &gt;&gt; 8651 | LPR &gt;&gt; 04820 | TRUSTING &gt;&gt; 044008 | KAVO PARTS &gt;&gt; BS2903 | UNIPART &gt;&gt; GBS1173AF | TRW &gt;&gt; GS8201 | MK Kashiyama &gt;&gt; K5519 | ASHIKA &gt;&gt; 5504409 | NECTO &gt;&gt; N1361 | NIPPARTS &gt;&gt; J3504009 | MGA &gt;&gt; M661 | Brake ENGINEERING &gt;&gt; SH1201 | APEC braking &gt;&gt; SHU411 | GIRLING &gt;&gt; 5182019 | KAWE &gt;&gt; 04820 | fri.tech. &gt;&gt; 1044008 | sbs &gt;&gt; 18492726435 | E.T.F. &gt;&gt; 090326 | CIFAM &gt;&gt; 153151 | WOKING &gt;&gt; Z435000 | WOKING &gt;&gt; 435000 | VILLAR &gt;&gt; 6290735 | SIMER &gt;&gt; S047 | BLUE PRINT &gt;&gt; ADH24107 | SOLID AUTO (UK) &gt;&gt; H105007 | NPS &gt;&gt; H350A09 | ASHUKI &gt;&gt; 10509004 | IPS Parts &gt;&gt; IBL4409 | JAPKO &gt;&gt; 55409 | KAISHIN &gt;&gt; K5519 | QH Talbros &gt;&gt; BS712</t>
  </si>
  <si>
    <t>SIMER</t>
  </si>
  <si>
    <t>Fitting Position,  &gt;&gt; Rear Axle |  &gt;&gt; with lining | Width, mm &gt;&gt; 30 | O, mm &gt;&gt; 200 | Weight, kg &gt;&gt; 1,136 | Brake System,  &gt;&gt; Akebono | Thickness/Strength, mm &gt;&gt; 4</t>
  </si>
  <si>
    <t>HONDA &gt;&gt; 43153SD9003 | HONDA &gt;&gt; 43153SB6003 | HONDA &gt;&gt; 43153SB6671 | HONDA &gt;&gt; 43153SH5A02 | HONDA &gt;&gt; 43153SH5A01 | HONDA &gt;&gt; 43153SH5003 | HONDA &gt;&gt; 43153SH5013 | HONDA &gt;&gt; 43153SH5G01 | HONDA &gt;&gt; 43153SD9672 | HONDA &gt;&gt; 43153SH3A02 | HONDA &gt;&gt; 43153SK7003 | HONDA &gt;&gt; 43153SD9671 | HONDA &gt;&gt; 43153SN4003 | HONDA &gt;&gt; 43153SK7013 | BENDIX &gt;&gt; 3610605B | FERODO &gt;&gt; FSB220 | DELPHI &gt;&gt; LS1332 | REMSA &gt;&gt; 435000 | A.B.S. &gt;&gt; 8651 | LPR &gt;&gt; 04820 | TRUSTING &gt;&gt; 044008 | TRW &gt;&gt; GS8201 | sbs &gt;&gt; 435 | E.T.F. &gt;&gt; 09326 | SAMKO &gt;&gt; 84820 | RAICAM &gt;&gt; 2482</t>
  </si>
  <si>
    <t>ABE</t>
  </si>
  <si>
    <t>O, mm &gt;&gt; 180 | Width, mm &gt;&gt; 31 | Fitting Position,  &gt;&gt; Rear Axle</t>
  </si>
  <si>
    <t>HONDA &gt;&gt; 43153SH3A01 | HONDA &gt;&gt; 43153SR3A01 | HONDA &gt;&gt; 43153SH3G02 | HONDA &gt;&gt; 43153SB2603 | HONDA &gt;&gt; 43153SH3003 | HONDA &gt;&gt; 43153SH3013 | HONDA &gt;&gt; 43153SB3023 | HONDA &gt;&gt; 43153SB2601 | HONDA &gt;&gt; 43153SB2602 | HONDA &gt;&gt; 43153SA2601 | HONDA &gt;&gt; 43153SB2003 | ROVER &gt;&gt; GBS90833 | ROVER &gt;&gt; GBS90829 | ROVER &gt;&gt; GBS90289 | ROVER &gt;&gt; GBS90821 | ROVER &gt;&gt; GBS821 | ATE &gt;&gt; 03013701792 | PAGID &gt;&gt; H8290 | TEXTAR &gt;&gt; 0347 | JURID &gt;&gt; 2830391 | JURID &gt;&gt; 2830383 | BENDIX &gt;&gt; 361383B | QUINTON HAZELL &gt;&gt; BS689 | FERODO &gt;&gt; FSB204 | MINTEX &gt;&gt; MFR204 | DELPHI &gt;&gt; LS1288 | MAGNETI MARELLI &gt;&gt; BSS6288 | ROULUNDS RUBBER &gt;&gt; 8318A | ROADHOUSE &gt;&gt; 409600 | REMSA &gt;&gt; 409600 | JAPANPARTS &gt;&gt; GF403AF | LPR &gt;&gt; 04810 | TRUSTING &gt;&gt; 044007 | UNIPART &gt;&gt; GBS821 | TRW &gt;&gt; GS6210 | OBTEC A/S &gt;&gt; 919418 | ASHIKA &gt;&gt; 5504403 | NECTO &gt;&gt; N1348 | MGA &gt;&gt; M660 | Brake ENGINEERING &gt;&gt; SH2210 | ABEX &gt;&gt; H1348 | sbs &gt;&gt; 418 | RAICAM &gt;&gt; 2481 | FREN-J &gt;&gt; MG435 | BLUE PRINT &gt;&gt; ADH24106AF | IPS Parts &gt;&gt; IBL4403</t>
  </si>
  <si>
    <t>BREMSI</t>
  </si>
  <si>
    <t>Fitting Position,  &gt;&gt; Rear Axle | O, mm &gt;&gt; 200 | Width, mm &gt;&gt; 30</t>
  </si>
  <si>
    <t>HONDA &gt;&gt; 43153SB6671 | HONDA &gt;&gt; 43153SR4A02 | HONDA &gt;&gt; 43153SB6003 | HONDA &gt;&gt; 43153SB6305 | HONDA &gt;&gt; 43153SD9003 | HONDA &gt;&gt; 43153SH5013 | HONDA &gt;&gt; 43153SH5G01 | HONDA &gt;&gt; 43153SK7013 | HONDA &gt;&gt; 43153SN4003 | HONDA &gt;&gt; 43153SK7003 | HONDA &gt;&gt; 43153SH5506 | HONDA &gt;&gt; 43153SH5A01 | HONDA &gt;&gt; 43153SH5A02 | HONDA &gt;&gt; 43153SD9505 | HONDA &gt;&gt; 43153SD9671HS | HONDA &gt;&gt; 43153SH3A02 | HONDA &gt;&gt; 43153SH5003 | HONDA &gt;&gt; 43153SD9672 | HONDA &gt;&gt; 43153SD9671 | SPIDAN &gt;&gt; 31305 | HELLA &gt;&gt; 8DB355000791 | ATE &gt;&gt; 3013702942 | ATE &gt;&gt; 3013702132 | ATE &gt;&gt; 3013701792 | ATE &gt;&gt; 650213 | ATE &gt;&gt; 650294 | PAGID &gt;&gt; H8290 | PAGID &gt;&gt; H8445 | PAGID &gt;&gt; Q0470 | LUCAS ELECTRICAL &gt;&gt; GS8201 | VALEO &gt;&gt; 562543 | BOSCH &gt;&gt; 487356M | BOSCH &gt;&gt; 986487356 | LEMFORDER &gt;&gt; 20206 | TEXTAR &gt;&gt; 98101037104 | TEXTAR &gt;&gt; 981010371 | TEXTAR &gt;&gt; 9810103710004 | TEXTAR &gt;&gt; 91037100 | TEXTAR &gt;&gt; 91034700 | TEXTAR &gt;&gt; 83034700 | JURID &gt;&gt; 361605J | JURID &gt;&gt; 361383J | JURID &gt;&gt; 2830357 | BENDIX &gt;&gt; 361605B | BENDIX &gt;&gt; 361383B | BENDIX &gt;&gt; BS1611 | BENDIX &gt;&gt; 338571B | BENDIX &gt;&gt; 338571 | HERTH+BUSS JAKOPARTS &gt;&gt; J3504003 | HERTH+BUSS JAKOPARTS &gt;&gt; J3504009 | QUINTON HAZELL &gt;&gt; BS689 | QUINTON HAZELL &gt;&gt; BS712 | QUINTON HAZELL &gt;&gt; BBF689 | QUINTON HAZELL &gt;&gt; BBF712 | FERODO &gt;&gt; FS1332 | FERODO &gt;&gt; FSB220 | BREMBO &gt;&gt; S28504 | MINTEX &gt;&gt; MFR204 | MINTEX &gt;&gt; MFR206 | PEX &gt;&gt; 6132 | PEX &gt;&gt; 6066 | DELPHI &gt;&gt; LS1646 | DELPHI &gt;&gt; LS1332 | MAGNETI MARELLI &gt;&gt; BSS6332 | MAGNETI MARELLI &gt;&gt; 360219196332 | ROULUNDS RUBBER &gt;&gt; 680465 | TRISCAN &gt;&gt; 810040418 | TRISCAN &gt;&gt; 810040435 | METELLI &gt;&gt; 530151 | NK &gt;&gt; 2726435 | NK &gt;&gt; 2726418 | OPTIMAL &gt;&gt; BB3500 | KBP &gt;&gt; BS2903 | ROADHOUSE &gt;&gt; 435000 | REMSA &gt;&gt; 409600 | REMSA &gt;&gt; 435000 | JAPANPARTS &gt;&gt; GF495AF | JAPANPARTS &gt;&gt; GF409AF | QH Benelux &gt;&gt; 1392 | A.B.S. &gt;&gt; 8651 | KOIVUNEN OY &gt;&gt; 4834408 | LPR &gt;&gt; 4820 | LPR &gt;&gt; 04820 | TRUSTING &gt;&gt; 44008 | TRUSTING &gt;&gt; 1044008 | KAVO PARTS &gt;&gt; BS2903 | MOPROD &gt;&gt; MBS418 | UNIPART &gt;&gt; GBS1173AF | UNIPART &gt;&gt; GBS1173 | TRW &gt;&gt; GS8201 | BRADI &gt;&gt; G3607 | HAVAM &gt;&gt; HP1392 | OBTEC A/S &gt;&gt; 919435 | BREMS.-U.KUPPL.TEILE &gt;&gt; 87600 | AKEBONO &gt;&gt; N4517 | AKEBONO &gt;&gt; N4511 | FMSI-VERBAND &gt;&gt; S545 | ARMSTRONG &gt;&gt; RBS327 | HP (ZEBRA) &gt;&gt; 1392 | ACDelco &gt;&gt; 159 | ROULUNDS BRAKING &gt;&gt; 680465 | ROULUNDS BRAKING &gt;&gt; 680435 | MK Kashiyama &gt;&gt; K9934 | MK Kashiyama &gt;&gt; K5519 | ASHIKA &gt;&gt; 5504495 | ASHIKA &gt;&gt; 5504409 | BECK/ARNLEY &gt;&gt; 812404 | NECTO &gt;&gt; N1361 | NIPPARTS &gt;&gt; J3504009 | MGA &gt;&gt; M661 | RHIAG &gt;&gt; GF43500 | Brake ENGINEERING &gt;&gt; SH1201 | APEC braking &gt;&gt; SHU411 | ABEX &gt;&gt; H1361 | KAGER &gt;&gt; 340065 | GIRLING &gt;&gt; 5182019 | KAWE &gt;&gt; 4820 | fri.tech. &gt;&gt; 1044008 | sbs &gt;&gt; 18492726435 | sbs &gt;&gt; SBS435 | E.T.F. &gt;&gt; 90326 | CIFAM &gt;&gt; 153151 | MALO &gt;&gt; G2726435 | DEX &gt;&gt; 2044008 | WOKING &gt;&gt; 435000 | WOKING &gt;&gt; Z435000 | VILLAR &gt;&gt; 6290735 | SAMKO &gt;&gt; 84820 | RAICAM &gt;&gt; 2482 | FREN-J &gt;&gt; MG465 | BLUE PRINT &gt;&gt; ADH24107AF | BLUE PRINT &gt;&gt; ADH24107 | BLUE PRINT &gt;&gt; ADH24106 | MOTAQUIP &gt;&gt; VBS491 | MOTAQUIP &gt;&gt; VBS400 | ASHUKI &gt;&gt; 10509004 | VAPSINT &gt;&gt; 835 | VEMA &gt;&gt; 84482 | LEADER PARTS &gt;&gt; 20801841 | CHASE &gt;&gt; S579</t>
  </si>
  <si>
    <t>Brake Caliper</t>
  </si>
  <si>
    <t>Bore O, mm &gt;&gt; 53,1 | Br. Caliper Type,  &gt;&gt; Caliper (1 piston)</t>
  </si>
  <si>
    <t>Fitting Position &gt;&gt; Front Axle Left | for brake disc thickness [mm] &gt;&gt; 19</t>
  </si>
  <si>
    <t>HONDA &gt;&gt; 45230SD2A00 | HONDA &gt;&gt; 45230SD2A13 | HONDA &gt;&gt; 45230SD2G01 | HONDA &gt;&gt; 45230SE0A01 | HONDA &gt;&gt; 45230SD2A01 | HONDA &gt;&gt; 45230SE0A03 | HERTH+BUSS JAKOPARTS &gt;&gt; J3214000 | BUDWEG CALIPER &gt;&gt; 341166 | NK &gt;&gt; 212645 | Brake ENGINEERING &gt;&gt; CA907 | sbs &gt;&gt; 1301212645 | A.B.S. &gt;&gt; 728791</t>
  </si>
  <si>
    <t>Fitting Position &gt;&gt; Front Axle Right | for brake disc thickness [mm] &gt;&gt; 19</t>
  </si>
  <si>
    <t>HONDA &gt;&gt; 45210SD2A00 | HONDA &gt;&gt; 45210SD2A03 | HONDA &gt;&gt; 45210SD2A13 | HONDA &gt;&gt; 45210SE0A13 | HONDA &gt;&gt; 45210SE0A12 | HONDA &gt;&gt; 45210SE0A10 | HONDA &gt;&gt; 45210SE0A11 | HONDA &gt;&gt; 45210SD2G01 | HONDA &gt;&gt; 45210SD2A01 | HONDA &gt;&gt; 45210SE0A03 | HONDA &gt;&gt; 45210SE0A02 | HONDA &gt;&gt; 45210SE0A01 | HERTH+BUSS JAKOPARTS &gt;&gt; J3224000 | BUDWEG CALIPER &gt;&gt; 341167 | NK &gt;&gt; 212646 | Brake ENGINEERING &gt;&gt; CA907R | sbs &gt;&gt; 1301212646 | A.B.S. &gt;&gt; 728792</t>
  </si>
  <si>
    <t>Brake Disc</t>
  </si>
  <si>
    <t>Brake Disc Thickness, mm &gt;&gt; 19 | for Art.No.,  &gt;&gt; H1141V | Centering Diameter, mm &gt;&gt; 61 | Min. thickness, mm &gt;&gt; 17 | Brake Disc Type,  &gt;&gt; Internally Vented | Height, mm &gt;&gt; 44 | O, mm &gt;&gt; 242 | Num. of holes,  &gt;&gt; 4</t>
  </si>
  <si>
    <t>from construction year &gt;&gt; 05/1986 | to construction year &gt;&gt; 05/1990 | Fitting Position &gt;&gt; Front Axle | Country Version &gt;&gt; USA | Country Version &gt;&gt; Europe</t>
  </si>
  <si>
    <t>HONDA &gt;&gt; 45251SB2981 | HONDA &gt;&gt; 45251SB2780 | HONDA &gt;&gt; 45251SB2782 | HONDA &gt;&gt; 45251SB2980 | HONDA &gt;&gt; 45251SB2781 | HONDA &gt;&gt; 45251SB2982 | HONDA &gt;&gt; 45251SB2990 | ATE &gt;&gt; 24011901061 | PAGID &gt;&gt; 51113 | BOSCH &gt;&gt; 0986478503 | TEXTAR &gt;&gt; 92060700 | JURID &gt;&gt; 561384J | BENDIX &gt;&gt; 561384B | FTE &gt;&gt; BS3591 | QUINTON HAZELL &gt;&gt; BDC3591 | FERODO &gt;&gt; DDF377 | BREMBO &gt;&gt; 09502310 | MINTEX &gt;&gt; MDC645 | ZIMMERMANN &gt;&gt; 280208800 | DELPHI &gt;&gt; BG2399 | METELLI &gt;&gt; 230306 | ROADHOUSE &gt;&gt; 636910 | REMSA &gt;&gt; 636910 | JAPANPARTS &gt;&gt; DI419 | GRAF &gt;&gt; DF29306 | KWP &gt;&gt; 129306 | TRW &gt;&gt; DF1963 | BRADI &gt;&gt; 1191324 | BRECO &gt;&gt; BS7938 | BRECO &gt;&gt; 09502310 | INTERBRAKE &gt;&gt; HO141V | CAR &gt;&gt; 142916 | Brake ENGINEERING &gt;&gt; DI952450 | APEC braking &gt;&gt; DSK190 | FREMAX &gt;&gt; BD0838 | PILENGA &gt;&gt; V305 | sbs &gt;&gt; 1815202612 | CIFAM &gt;&gt; 800306 | SAMKO &gt;&gt; H1141V | URPA &gt;&gt; 101422</t>
  </si>
  <si>
    <t>O, mm &gt;&gt; 237 | Brake Disc Thickness, mm &gt;&gt; 10 | Height, mm &gt;&gt; 34 | Centering Diameter, mm &gt;&gt; 48 | Num. of holes,  &gt;&gt; 4 | Bolt Hole Circle O, mm &gt;&gt; 100 | Fitting Position,  &gt;&gt; Rear Axle | Brake Disc Type,  &gt;&gt; Solid</t>
  </si>
  <si>
    <t>from construction year &gt;&gt; 10/1985 | to construction year &gt;&gt; 09/1989</t>
  </si>
  <si>
    <t>HONDA &gt;&gt; 42510SH3G00 | ACURA &gt;&gt; 42510SD2A00</t>
  </si>
  <si>
    <t>E.T.F.</t>
  </si>
  <si>
    <t>for Art.No.,  &gt;&gt; 19-0817 | Num. of holes,  &gt;&gt; 4 | Brake Disc Type,  &gt;&gt; Solid | Brake Disc Thickness, mm &gt;&gt; 10 | Min. thickness, mm &gt;&gt; 8 | O, mm &gt;&gt; 238,5 | Centering Diameter, mm &gt;&gt; 61 | Height, mm &gt;&gt; 48,5 | Fitting Position,  &gt;&gt; Rear Axle</t>
  </si>
  <si>
    <t>HONDA &gt;&gt; 42510SE0010 | HONDA &gt;&gt; 42510SE0000 | HONDA &gt;&gt; 42510SH3G00 | HONDA &gt;&gt; 42510SK3E00 | ACURA &gt;&gt; 42510SH3G00 | ATE &gt;&gt; 24011002121 | BOSCH &gt;&gt; 0986478350 | BREMBO &gt;&gt; 08710410 | LPR &gt;&gt; H1171P | BRADI &gt;&gt; 1191554 | CAR &gt;&gt; 142308 | sbs &gt;&gt; 1815202613</t>
  </si>
  <si>
    <t>Num. of holes,  &gt;&gt; 4 | Brake Disc Type,  &gt;&gt; Solid | for Art.No.,  &gt;&gt; 19-0818 | Brake Disc Thickness, mm &gt;&gt; 10 | Min. thickness, mm &gt;&gt; 8 | O, mm &gt;&gt; 238,6 | Centering Diameter, mm &gt;&gt; 57,5 | Height, mm &gt;&gt; 33,7 | Fitting Position,  &gt;&gt; Rear Axle</t>
  </si>
  <si>
    <t>HONDA &gt;&gt; 42510SD2930 | ACURA &gt;&gt; 42510SD2930 | ACURA &gt;&gt; 42510SD2A00 | BREMBO &gt;&gt; 08683710</t>
  </si>
  <si>
    <t>Brake Disc Type,  &gt;&gt; Vented | Num. of holes,  &gt;&gt; 4 | for Art.No.,  &gt;&gt; 19-0838 | Brake Disc Thickness, mm &gt;&gt; 19 | Min. thickness, mm &gt;&gt; 17 | O, mm &gt;&gt; 242 | Centering Diameter, mm &gt;&gt; 61 | Height, mm &gt;&gt; 44 | Fitting Position,  &gt;&gt; Front Axle</t>
  </si>
  <si>
    <t>HONDA &gt;&gt; 45251SB2781 | HONDA &gt;&gt; 45251SB278012 | HONDA &gt;&gt; 45251SB2780 | HONDA &gt;&gt; 45251SB2782 | ACURA &gt;&gt; 45251SB278012 | ACURA &gt;&gt; 45251SB2780 | ACURA &gt;&gt; 45251SB2782 | ACURA &gt;&gt; 45251SB2781 | ATE &gt;&gt; 24011901061 | BOSCH &gt;&gt; 0986478503 | BREMBO &gt;&gt; 09502310 | LPR &gt;&gt; H1141V | BRADI &gt;&gt; 1191324 | CAR &gt;&gt; 142916 | sbs &gt;&gt; 1815202612</t>
  </si>
  <si>
    <t>Weight, kg &gt;&gt; 6,835 | O, mm &gt;&gt; 239 | Brake Disc Thickness, mm &gt;&gt; 10 | Min. thickness, mm &gt;&gt; 8 | Bolt Hole Circle O, mm &gt;&gt; 48 | Num. of holes,  &gt;&gt; 4 | Height, mm &gt;&gt; 33,4 | Brake Disc Type,  &gt;&gt; Solid</t>
  </si>
  <si>
    <t>from construction year &gt;&gt; 01/1986 | to construction year &gt;&gt; 12/1989 | Fitting Position &gt;&gt; Rear Axle</t>
  </si>
  <si>
    <t>HONDA &gt;&gt; 42510SD4A00 | HONDA &gt;&gt; 42510SH3G00 | ACURA &gt;&gt; 42510SD2930 | ACURA &gt;&gt; 42510SD2A00 | ATE &gt;&gt; 24011002541 | LEMFORDER &gt;&gt; 1490602 | LEMFORDER &gt;&gt; 14906 | QUINTON HAZELL &gt;&gt; BDC5047 | FERODO &gt;&gt; DDF785 | BREMBO &gt;&gt; 08710475 | BREMBO &gt;&gt; 08710414 | BREMBO &gt;&gt; 08683710 | PEX &gt;&gt; 140225 | MAGNETI MARELLI &gt;&gt; 353611915540 | OPTIMAL &gt;&gt; BS0830 | MAPCO &gt;&gt; 15604 | ROADHOUSE &gt;&gt; 620810 | REMSA &gt;&gt; 620810 | JAPANPARTS &gt;&gt; DP498 | A.B.S. &gt;&gt; 15983 | LPR &gt;&gt; H1496P | KAVO PARTS &gt;&gt; BR2219 | TRW &gt;&gt; DF4004 | BRADI &gt;&gt; 1191954 | BRECO &gt;&gt; BS7513 | HP (ZEBRA) &gt;&gt; 53479 | ASHIKA &gt;&gt; 6104498 | APEC braking &gt;&gt; DSK257 | KAGER &gt;&gt; 370990 | AP &gt;&gt; 14683 | AP &gt;&gt; 14608 | KAWE &gt;&gt; 37580 | BLUE PRINT &gt;&gt; ADH24319 | COMLINE &gt;&gt; ADC0532</t>
  </si>
  <si>
    <t>HONDA &gt;&gt; 42510SD4A00 | HONDA &gt;&gt; 42510SH3G00 | ACURA &gt;&gt; 42510SD2930 | ACURA &gt;&gt; 42510SD2A00 | ATE &gt;&gt; 24011002541 | LEMFORDER &gt;&gt; 14906 | LEMFORDER &gt;&gt; 1490602 | QUINTON HAZELL &gt;&gt; BDC5047 | FERODO &gt;&gt; DDF785 | BREMBO &gt;&gt; 08710475 | BREMBO &gt;&gt; 08710414 | BREMBO &gt;&gt; 08683710 | PEX &gt;&gt; 140225 | MAGNETI MARELLI &gt;&gt; 353611915540 | OPTIMAL &gt;&gt; BS0830 | MAPCO &gt;&gt; 15604 | ROADHOUSE &gt;&gt; 620810 | REMSA &gt;&gt; 620810 | JAPANPARTS &gt;&gt; DP498 | A.B.S. &gt;&gt; 15983 | LPR &gt;&gt; H1496P | KAVO PARTS &gt;&gt; BR2219 | TRW &gt;&gt; DF4004 | BRADI &gt;&gt; 1191954 | BRECO &gt;&gt; BS7513 | HP (ZEBRA) &gt;&gt; 53479 | ASHIKA &gt;&gt; 6104498 | APEC braking &gt;&gt; DSK257 | KAGER &gt;&gt; 370990 | AP &gt;&gt; 14683 | AP &gt;&gt; 14608 | KAWE &gt;&gt; 37580 | BLUE PRINT &gt;&gt; ADH24319 | COMLINE &gt;&gt; ADC0532</t>
  </si>
  <si>
    <t>STOP</t>
  </si>
  <si>
    <t>Fitting Position,  &gt;&gt; Rear Axle | O, mm &gt;&gt; 239 | Height, mm &gt;&gt; 49 | Weight, kg &gt;&gt; 7,22 | Brake Disc Type,  &gt;&gt; Solid | Brake Disc Thickness, mm &gt;&gt; 10 | Min. thickness, mm &gt;&gt; 8 | Num. of holes,  &gt;&gt; 4 | Centering Diameter, mm &gt;&gt; 61 |  &gt;&gt; without screws</t>
  </si>
  <si>
    <t>from construction year &gt;&gt; 10/1989</t>
  </si>
  <si>
    <t>HONDA &gt;&gt; 42510SR3A10 | HONDA &gt;&gt; 42510SR3J01 | ACURA &gt;&gt; 42510SR3A10 | ATE &gt;&gt; 409111 | ATE &gt;&gt; 24010901111 | BOSCH &gt;&gt; 0986479101 | JURID &gt;&gt; 562016J | JURID &gt;&gt; 562016JC | BENDIX &gt;&gt; 562016BC | BENDIX &gt;&gt; 562016B | QUINTON HAZELL &gt;&gt; BDC4746P | QUINTON HAZELL &gt;&gt; BDC4746 | FERODO &gt;&gt; DDF13581 | BREMBO &gt;&gt; 08A92010 | MINTEX &gt;&gt; MDC846 | DELPHI &gt;&gt; BG2538 | QH Benelux &gt;&gt; 53481 | TRW &gt;&gt; DF4191 | NECTO &gt;&gt; WN1331 | Brake ENGINEERING &gt;&gt; DI955373 | APEC braking &gt;&gt; DSK257 | APEC braking &gt;&gt; DSK252 | sbs &gt;&gt; 1815202621 | BLUE PRINT &gt;&gt; ADH24327</t>
  </si>
  <si>
    <t>Fitting Position,  &gt;&gt; Front Axle | Brake Disc Type,  &gt;&gt; Vented | Brake Disc Thickness, mm &gt;&gt; 19 | O, mm &gt;&gt; 242 | Bolt Hole Circle O, mm &gt;&gt; 100 | Num. of holes,  &gt;&gt; 4 | Min. thickness, mm &gt;&gt; 17 | Height, mm &gt;&gt; 44,1</t>
  </si>
  <si>
    <t>HONDA &gt;&gt; 45251SB2982 | HONDA &gt;&gt; 45251SB2990 | HONDA &gt;&gt; 45251SB2781 | HONDA &gt;&gt; 45251SB2980 | HONDA &gt;&gt; 45251SB2981 | HONDA &gt;&gt; 45251SB2782 | HONDA &gt;&gt; 45251SB2780 | ATE &gt;&gt; 24011901061 | PAGID &gt;&gt; 51113 | VALEO &gt;&gt; 186431 | BOSCH &gt;&gt; 0986478503 | LEMFORDER &gt;&gt; 2246801 | TEXTAR &gt;&gt; 92060700 | JURID &gt;&gt; 561384J | BENDIX &gt;&gt; 561384B | FTE &gt;&gt; BS3591 | QUINTON HAZELL &gt;&gt; BDC3591 | FERODO &gt;&gt; DDF377 | BREMBO &gt;&gt; 09502310 | MINTEX &gt;&gt; MDC645 | PEX &gt;&gt; 140221 | ZIMMERMANN &gt;&gt; 280208800 | DELPHI &gt;&gt; BG2399 | FARCOM &gt;&gt; 230111 | METZGER &gt;&gt; 636910 | ROULUNDS RUBBER &gt;&gt; D2195 | TRISCAN &gt;&gt; 812040103 | METELLI &gt;&gt; 230306 | NK &gt;&gt; 202612 | OPTIMAL &gt;&gt; BS3690 | MAPCO &gt;&gt; 15610 | MEYLE &gt;&gt; 31155210011PD | ROADHOUSE &gt;&gt; 636910 | QH Benelux &gt;&gt; HP53480 | A.B.S. &gt;&gt; 15938 | LPR &gt;&gt; H1141V | TRUSTING &gt;&gt; DF236 | GRAF &gt;&gt; DF29306 | TRW &gt;&gt; DF1963 | BRECO &gt;&gt; BS7938 | ACDelco &gt;&gt; AC2195D | CAR &gt;&gt; 142916 | FREMAX &gt;&gt; BD0838 | KAGER &gt;&gt; 370003 | GIRLING &gt;&gt; 6019631 | AP &gt;&gt; 24202 | KAWE &gt;&gt; 636910 | PILENGA &gt;&gt; V305 | fri.tech. &gt;&gt; DF236 | sbs &gt;&gt; 1815202612 | E.T.F. &gt;&gt; 190838 | CIFAM &gt;&gt; 800306 | WOKING &gt;&gt; D636910 | VILLAR &gt;&gt; 6281496 | OPEN PARTS &gt;&gt; BDR120420 | FIRST LINE &gt;&gt; FBD048 | VEMA &gt;&gt; 98291 | ABE &gt;&gt; C34019ABE</t>
  </si>
  <si>
    <t>Height, mm &gt;&gt; 44,1 | Num. of holes,  &gt;&gt; 4 | O, mm &gt;&gt; 242 | for Art.No.,  &gt;&gt; HPD 916 | Min. thickness, mm &gt;&gt; 17 | Centering Diameter, mm &gt;&gt; 61 | Brake Disc Type,  &gt;&gt; Internally Vented | Weight, kg &gt;&gt; 4,05 | Brake Disc Thickness, mm &gt;&gt; 19</t>
  </si>
  <si>
    <t>Equipment Variant &gt;&gt; fur USA/Europa | from construction year &gt;&gt; 05/1986 | to construction year &gt;&gt; 05/1990 | Fitting Position &gt;&gt; Front Axle</t>
  </si>
  <si>
    <t>HONDA &gt;&gt; 45251SB2781 | HONDA &gt;&gt; 45251SB2780 | HONDA &gt;&gt; 45251SB2782 | HONDA &gt;&gt; 45251SB2980 | CAR &gt;&gt; 0986478503 | CAR &gt;&gt; 15938 | CAR &gt;&gt; DDF377 | CAR &gt;&gt; BS7938 | CAR &gt;&gt; 280208800 | CAR &gt;&gt; BS3591 | CAR &gt;&gt; BG2399 | CAR &gt;&gt; 157 | CAR &gt;&gt; 24537VF | CAR &gt;&gt; BDR120420 | CAR &gt;&gt; BDC3591 | CAR &gt;&gt; 24202 | CAR &gt;&gt; BD0838 | CAR &gt;&gt; 800306 | CAR &gt;&gt; 129306 | CAR &gt;&gt; 24011901061 | CAR &gt;&gt; 6004419 | CAR &gt;&gt; 561384J | CAR &gt;&gt; V305 | CAR &gt;&gt; 230306 | CAR &gt;&gt; 561384B | CAR &gt;&gt; RR157 | CAR &gt;&gt; NBD170 | CAR &gt;&gt; 53480 | CAR &gt;&gt; HV4290 | CAR &gt;&gt; HO141V | CAR &gt;&gt; 00803 | CAR &gt;&gt; 53453S | CAR &gt;&gt; HHO141V | CAR &gt;&gt; HB1324 | CAR &gt;&gt; 202612 | CAR &gt;&gt; H1141V | CAR &gt;&gt; DI419 | CAR &gt;&gt; 09502310 | CAR &gt;&gt; 1191324 | CAR &gt;&gt; DF620420 | CAR &gt;&gt; DF29306 | CAR &gt;&gt; 1815181808V | CAR &gt;&gt; DF236 | CAR &gt;&gt; DF1963</t>
  </si>
  <si>
    <t>PILENGA</t>
  </si>
  <si>
    <t>Brake Disc Type,  &gt;&gt; Vented | Fitting Position,  &gt;&gt; Front Axle | O, mm &gt;&gt; 242 | Brake Disc Thickness, mm &gt;&gt; 19 | Min. thickness, mm &gt;&gt; 17 | Height, mm &gt;&gt; 44,1 | Centering Diameter, mm &gt;&gt; 61 | No. of holes 1,  &gt;&gt; 4 | No. of holes 2,  &gt;&gt; 4</t>
  </si>
  <si>
    <t>from construction year &gt;&gt; 05/1986</t>
  </si>
  <si>
    <t>HONDA &gt;&gt; 45251SB2990 | HONDA &gt;&gt; 45251SB2780 | HONDA &gt;&gt; 45251SB2782 | HONDA &gt;&gt; 45251SB2980 | HONDA &gt;&gt; 45251SB2781 | ACURA &gt;&gt; 45251SB2782 | ACURA &gt;&gt; 45251SB2781 | ACURA &gt;&gt; 45251SB2780 | ATE &gt;&gt; 24011901061 | ATE &gt;&gt; 419106 | PAGID &gt;&gt; 51113 | BOSCH &gt;&gt; 0986478503 | LEMFORDER &gt;&gt; 22468 | TEXTAR &gt;&gt; 92060700 | JURID &gt;&gt; 561384J | JURID &gt;&gt; 561385J | BENDIX &gt;&gt; 561385B | BENDIX &gt;&gt; 561384B | FTE &gt;&gt; BS3591 | HERTH+BUSS JAKOPARTS &gt;&gt; J3304019 | QUINTON HAZELL &gt;&gt; BDC3591 | FERODO &gt;&gt; DDF377 | BREMBO &gt;&gt; 09502310 | MINTEX &gt;&gt; MDC645 | PEX &gt;&gt; 140221 | ZIMMERMANN &gt;&gt; 280208850 | ZIMMERMANN &gt;&gt; 280208800 | DELPHI &gt;&gt; BG2399 | MAGNETI MARELLI &gt;&gt; 353611913240 | TRISCAN &gt;&gt; 812040103 | METELLI &gt;&gt; 230306 | NK &gt;&gt; 202612 | OPTIMAL &gt;&gt; BS3690 | MAPCO &gt;&gt; 15610 | KBP &gt;&gt; BR2212 | ROADHOUSE &gt;&gt; 636910 | REMSA &gt;&gt; BDM620420 | REMSA &gt;&gt; 636910 | JAPANPARTS &gt;&gt; DI419 | QH Benelux &gt;&gt; 53480 | A.B.S. &gt;&gt; 15938 | LPR &gt;&gt; H1141V | TRUSTING &gt;&gt; DF236 | GRAF &gt;&gt; DF29306 | KWP &gt;&gt; 129306 | TRW &gt;&gt; DF1963 | BRECO &gt;&gt; BS7938 | ACDelco &gt;&gt; AC2195D | ROULUNDS BRAKING &gt;&gt; D2195 | ASHIKA &gt;&gt; 6004419 | CAR &gt;&gt; 142916 | NIPPARTS &gt;&gt; J3304019 | KAGER &gt;&gt; 370003 | GIRLING &gt;&gt; 6019631 | AP &gt;&gt; 24202 | KAWE &gt;&gt; 37469 | sbs &gt;&gt; 1815202612 | CIFAM &gt;&gt; 800306 | MALO &gt;&gt; D202612 | BLUE PRINT &gt;&gt; ADH24316 | OPEN PARTS &gt;&gt; BDR120420 | IPS Parts &gt;&gt; IBT1419 | VEMA &gt;&gt; 98291</t>
  </si>
  <si>
    <t>KAGER</t>
  </si>
  <si>
    <t xml:space="preserve">O, mm &gt;&gt; 242 | Height, mm &gt;&gt; 44 | Height, mm &gt;&gt; 44,1 | Bore O, mm &gt;&gt; 12,6 | Brake Disc Type,  &gt;&gt; Internally Vented | Brake Disc Type,  &gt;&gt; Vented | Brake Disc Thickness, mm &gt;&gt; 19 | Thread Size,  &gt;&gt; 12,6 | Min. thickness, mm &gt;&gt; 17 | Inner Diameter, mm &gt;&gt; 122 | Num. of holes,  &gt;&gt; 4 | Centering Diameter, mm &gt;&gt; 61 | Bolt Hole Circle O, mm &gt;&gt; 100 | Wheel Hub O, mm &gt;&gt; 61 | MAPP code available,  &gt;&gt; </t>
  </si>
  <si>
    <t>Equipment Variant &gt;&gt; fur USA/Europa | from construction year &gt;&gt; 10/1985 | from construction year &gt;&gt; 05/1986 | to construction year &gt;&gt; 09/1989 | to construction year &gt;&gt; 05/1990 | Fitting Position &gt;&gt; Front Axle</t>
  </si>
  <si>
    <t>HONDA &gt;&gt; 45251SB2980 | HONDA &gt;&gt; 45251SB2990 | HONDA &gt;&gt; 45251SB2781 | HONDA &gt;&gt; 45251SB2782 | HONDA &gt;&gt; 45251SB2780 | ACURA &gt;&gt; 45251SB2990 | HELLA &gt;&gt; 8DD355103101 | ATE &gt;&gt; 419106 | ATE &gt;&gt; 24011901061 | PAGID &gt;&gt; 51113 | LUCAS ELECTRICAL &gt;&gt; DF1963 | LUCAS ELECTRICAL &gt;&gt; 6019633 | VALEO &gt;&gt; 186431 | BOSCH &gt;&gt; 0986AB6320 | BOSCH &gt;&gt; 0986478503 | BOSCH &gt;&gt; 986478503 | LEMFORDER &gt;&gt; 2246801 | TEXTAR &gt;&gt; 92060700 | TEXTAR &gt;&gt; 98200060701 | TEXTAR &gt;&gt; 982000607 | JURID &gt;&gt; 561385J | JURID &gt;&gt; 561384J | JURID &gt;&gt; 8290451320 | BENDIX &gt;&gt; 561385B | BENDIX &gt;&gt; 561384B | BENDIX &gt;&gt; B338776 | BENDIX &gt;&gt; 338776 | FTE &gt;&gt; BS3591 | HERTH+BUSS JAKOPARTS &gt;&gt; J3304019 | QUINTON HAZELL &gt;&gt; BSF3591 | QUINTON HAZELL &gt;&gt; BDC3591 | QUINTON HAZELL &gt;&gt; 636910 | FERODO &gt;&gt; DDF3771 | FERODO &gt;&gt; DDF377 | BREMBO &gt;&gt; 09502310 | MINTEX &gt;&gt; MDC645 | PEX &gt;&gt; 140221 | ZIMMERMANN &gt;&gt; 280208852 | ZIMMERMANN &gt;&gt; 280208850 | ZIMMERMANN &gt;&gt; 280208800 | ZIMMERMANN &gt;&gt; 2802088 | DELPHI &gt;&gt; BS3591 | DELPHI &gt;&gt; BG399 | DELPHI &gt;&gt; BG2399 | METZGER &gt;&gt; 636910 | MAGNETI MARELLI &gt;&gt; 353611913240 | ROULUNDS RUBBER &gt;&gt; D2195 | TRISCAN &gt;&gt; 812040103 | METELLI &gt;&gt; 230306 | METELLI &gt;&gt; 800306 | NK &gt;&gt; 202612 | MAPCO &gt;&gt; 15610 | ROADHOUSE &gt;&gt; 636910 | REMSA &gt;&gt; 636910 | JAPANPARTS &gt;&gt; DI419 | QH Benelux &gt;&gt; 53480 | NATIONAL &gt;&gt; NBD170 | A.B.S. &gt;&gt; 15938 | LPR &gt;&gt; H1141V | GRAF &gt;&gt; DF29306 | TRW &gt;&gt; DF1963 | BRADI &gt;&gt; 1191324 | BRECO &gt;&gt; BS7938 | OBTEC A/S &gt;&gt; 181808V | SEBRO &gt;&gt; 3453 | FAG &gt;&gt; BS3591 | ACDelco &gt;&gt; AC2195D | ROULUNDS BRAKING &gt;&gt; D2195 | DBA &gt;&gt; DBA187 | CAR &gt;&gt; 142916 | NIPPARTS &gt;&gt; J3304019 | MGA &gt;&gt; D1106 | Brake ENGINEERING &gt;&gt; DI952450 | APEC braking &gt;&gt; DSK190 | ABEX &gt;&gt; W0664 | HELLA PAGID &gt;&gt; 8DD355103101 | GIRLING &gt;&gt; 6019631 | PILENGA &gt;&gt; V305 | sbs &gt;&gt; 202612 | sbs &gt;&gt; 1815202612 | CIFAM &gt;&gt; 800306 | WOKING &gt;&gt; P636910 | BLUE PRINT &gt;&gt; ADH24316 | FIRST LINE &gt;&gt; FBD048 | NUOVA TECNODELTA &gt;&gt; HPD916 | ROTINGER &gt;&gt; RT2003T5</t>
  </si>
  <si>
    <t>MAXTECH</t>
  </si>
  <si>
    <t>Bolt Hole Circle O, mm &gt;&gt; 100 | Inner Diameter, mm &gt;&gt; 122 | Height, mm &gt;&gt; 44,1 | Brake Disc Thickness, mm &gt;&gt; 19 | Num. of holes,  &gt;&gt; 4 | Fitting Position,  &gt;&gt; Front Axle | Centering Diameter, mm &gt;&gt; 61 | Brake Disc Type,  &gt;&gt; Vented | O, mm &gt;&gt; 242 | Min. thickness, mm &gt;&gt; 17 | MAPP code available,  &gt;&gt;  | Bore O, mm &gt;&gt; 12,6</t>
  </si>
  <si>
    <t>Equipment Variant &gt;&gt; fur USA/Europa | to construction year &gt;&gt; 05/1990 | from construction year &gt;&gt; 05/1986</t>
  </si>
  <si>
    <t>HONDA &gt;&gt; 45251SB2780 | HONDA &gt;&gt; 45251SB2782 | HONDA &gt;&gt; 45251SB2781 | HONDA &gt;&gt; 45251SB2990</t>
  </si>
  <si>
    <t>Bolt Hole Circle O, mm &gt;&gt; 100 | Height, mm &gt;&gt; 34 | Thread Size,  &gt;&gt; 13 | Brake Disc Thickness, mm &gt;&gt; 10 | Num. of holes,  &gt;&gt; 4 | Fitting Position,  &gt;&gt; Rear Axle | Centering Diameter, mm &gt;&gt; 48 | Brake Disc Type,  &gt;&gt; Solid | O, mm &gt;&gt; 239 | Min. thickness, mm &gt;&gt; 8</t>
  </si>
  <si>
    <t>to construction year &gt;&gt; 09/1989 | from construction year &gt;&gt; 10/1985</t>
  </si>
  <si>
    <t>HONDA &gt;&gt; 42510SD4A00 | HONDA &gt;&gt; 42510SD2930 | HONDA &gt;&gt; 42510SH3000 | ACURA &gt;&gt; 42510SD2A00 | ACURA &gt;&gt; 42510SH3G00</t>
  </si>
  <si>
    <t>Brake Disc Type,  &gt;&gt; Internally Vented | O, mm &gt;&gt; 242 | Brake Disc Thickness, mm &gt;&gt; 19 | Min. thickness, mm &gt;&gt; 17 | Height, mm &gt;&gt; 44 | Centering Diameter, mm &gt;&gt; 61 | Num. of holes,  &gt;&gt; 4 | Tightening Torque, Nm &gt;&gt; 11 |  &gt;&gt; with screws</t>
  </si>
  <si>
    <t>Fitting Position &gt;&gt; Front Axle</t>
  </si>
  <si>
    <t>HONDA &gt;&gt; 45251SB2782 | HONDA &gt;&gt; 45251SB2780 | HONDA &gt;&gt; 45251SB2781 | HONDA &gt;&gt; 45251SB2980 | HONDA &gt;&gt; 45251SB2990 | ACURA &gt;&gt; 45251SB2780 | ACURA &gt;&gt; 45251SB2990 | ACURA &gt;&gt; 45251SB2980 | ACURA &gt;&gt; 45251SB2781 | ACURA &gt;&gt; 45251SB2782 | ATE &gt;&gt; 24011901061 | VALEO &gt;&gt; 186431 | BOSCH &gt;&gt; 0986AB6320 | BOSCH &gt;&gt; 0986478503 | BOSCH &gt;&gt; 0986AB9535 | TEXTAR &gt;&gt; 92060700 | JURID &gt;&gt; 561384J | BENDIX &gt;&gt; 561384B | FERODO &gt;&gt; DDF377 | BREMBO &gt;&gt; 09502310 | ZIMMERMANN &gt;&gt; 280208800 | METELLI &gt;&gt; 230306 | LPR &gt;&gt; H1141V | TRW &gt;&gt; DF1963 | BRECO &gt;&gt; BS7938 | Brake ENGINEERING &gt;&gt; DI952450 | AP &gt;&gt; 24202 | sbs &gt;&gt; 1815202612 | sbs &gt;&gt; 1815202605 | sbs &gt;&gt; 15938</t>
  </si>
  <si>
    <t>Brake Disc Type,  &gt;&gt; Solid | O, mm &gt;&gt; 239 | Brake Disc Thickness, mm &gt;&gt; 10 | Min. thickness, mm &gt;&gt; 8 | Height, mm &gt;&gt; 33,4 | Centering Diameter, mm &gt;&gt; 48 | Num. of holes,  &gt;&gt; 4</t>
  </si>
  <si>
    <t>HONDA &gt;&gt; 42510SD2930 | ACURA &gt;&gt; 42510SD2930 | ACURA &gt;&gt; 42510SD2A00 | VALEO &gt;&gt; 186435 | FERODO &gt;&gt; DDF785 | BREMBO &gt;&gt; 08683710 | LPR &gt;&gt; H1496P | TRW &gt;&gt; DF4004 | BRECO &gt;&gt; BS7513 | AP &gt;&gt; 14608 | sbs &gt;&gt; 15983</t>
  </si>
  <si>
    <t>VEMA</t>
  </si>
  <si>
    <t>Fitting Position,  &gt;&gt; Axle Position 1</t>
  </si>
  <si>
    <t>Fitting Position &gt;&gt; Front Axle | from construction year &gt;&gt; 10/1985 | to construction year &gt;&gt; 09/1989</t>
  </si>
  <si>
    <t>HONDA &gt;&gt; 45251SB2780 | HONDA &gt;&gt; 45251SB2782 | HONDA &gt;&gt; 45251SB2980 | HONDA &gt;&gt; 45251SB2781 | ATE &gt;&gt; 24011901061 | VALEO &gt;&gt; 186431 | BOSCH &gt;&gt; 0986478503 | TEXTAR &gt;&gt; 982000607 | JURID &gt;&gt; 8290451 | BENDIX &gt;&gt; 561384 | BENDIX &gt;&gt; 338776 | QUINTON HAZELL &gt;&gt; BDC3591 | FERODO &gt;&gt; DDF377 | BREMBO &gt;&gt; 09502310 | MINTEX &gt;&gt; MDC645 | METELLI &gt;&gt; 230306 | TRW &gt;&gt; DF1963 | BRADI &gt;&gt; 1191324 | BRECO &gt;&gt; BS7938 | NECTO &gt;&gt; WN664 | CAR &gt;&gt; 142916 | sbs &gt;&gt; 202612 | MALO &gt;&gt; D202612 | MOTAQUIP &gt;&gt; VBD393 | UNIPART &gt;&gt; GBD699 | LUCAS &gt;&gt; DF1963</t>
  </si>
  <si>
    <t>ATE</t>
  </si>
  <si>
    <t xml:space="preserve">O, mm &gt;&gt; 242 | Brake Disc Thickness, mm &gt;&gt; 19 | Min. thickness, mm &gt;&gt; 17 | Brake Disc Type,  &gt;&gt; Vented | Num. of holes,  &gt;&gt; 4 | Bolt Hole Circle O, mm &gt;&gt; 100 | Height, mm &gt;&gt; 44,1 | Centering Diameter, mm &gt;&gt; 61 | Inner Diameter, mm &gt;&gt; 122 | Bore O, mm &gt;&gt; 12,6 | MAPP code available,  &gt;&gt; </t>
  </si>
  <si>
    <t>from construction year &gt;&gt; 05/1986 | to construction year &gt;&gt; 05/1990 | Equipment Variant &gt;&gt; fur USA/Europa | Fitting Position &gt;&gt; Front Axle</t>
  </si>
  <si>
    <t>HONDA &gt;&gt; 45251SB2780 | HONDA &gt;&gt; 45251SB2781 | HONDA &gt;&gt; 45251SB2990 | HONDA &gt;&gt; 45251SB2782 | HELLA &gt;&gt; 8DD355103101 | PAGID &gt;&gt; 51113 | VALEO &gt;&gt; 186431 | BOSCH &gt;&gt; 0986478503 | TEXTAR &gt;&gt; 98200060701 | TEXTAR &gt;&gt; 92060700 | JURID &gt;&gt; 561384J | BENDIX &gt;&gt; 561385B | BENDIX &gt;&gt; 561384B | FTE &gt;&gt; BS3591 | HERTH+BUSS JAKOPARTS &gt;&gt; J3304019 | QUINTON HAZELL &gt;&gt; BDC3591 | QUINTON HAZELL &gt;&gt; 636910 | QUINTON HAZELL &gt;&gt; BSF3591 | FERODO &gt;&gt; DDF3771 | FERODO &gt;&gt; DDF377 | BREMBO &gt;&gt; 09502310 | MINTEX &gt;&gt; MDC645 | PEX &gt;&gt; 140221 | ZIMMERMANN &gt;&gt; 280208850 | ZIMMERMANN &gt;&gt; 280208800 | DELPHI &gt;&gt; BG2399 | DELPHI &gt;&gt; BG399 | METELLI &gt;&gt; 230306 | NK &gt;&gt; 202612 | ROADHOUSE &gt;&gt; 636910 | REMSA &gt;&gt; 636910 | GRAF &gt;&gt; DF29306 | TRW &gt;&gt; DF1963 | BRADI &gt;&gt; 1191324 | BRECO &gt;&gt; BS7938 | ROULUNDS BRAKING &gt;&gt; D2195 | CAR &gt;&gt; 142916 | NIPPARTS &gt;&gt; J3304019 | MGA &gt;&gt; D1106 | HELLA PAGID &gt;&gt; 8DD355103101 | PILENGA &gt;&gt; V305 | CIFAM &gt;&gt; 800306</t>
  </si>
  <si>
    <t>Fitting Position,  &gt;&gt; Rear Axle | Brake Disc Type,  &gt;&gt; Solid | Outer Diameter, mm &gt;&gt; 238,5 | Brake Disc Thickness, mm &gt;&gt; 10 | Centering Diameter, mm &gt;&gt; 61 | Height, mm &gt;&gt; 48,1 | Min. thickness, mm &gt;&gt; 8 | Rim, -Hole &gt;&gt; 4 | Number of mounting bores,  &gt;&gt; 2 | No. of holes 1,  &gt;&gt; 2</t>
  </si>
  <si>
    <t>HONDA &gt;&gt; 42510SE0000 | HONDA &gt;&gt; 42510SK3305 | HONDA &gt;&gt; 42510SD2930 | HONDA &gt;&gt; 42510SK3E00 | HONDA &gt;&gt; 42510SH3000 | HONDA &gt;&gt; 42510SH3G00 | HONDA &gt;&gt; 42510SE0010 | MG &gt;&gt; EGP1254 | ROVER &gt;&gt; GBD90817 | ROVER &gt;&gt; EGP1254 | ATE &gt;&gt; 24011002121 | PAGID &gt;&gt; 51106 | LUCAS ELECTRICAL &gt;&gt; 6026464 | LUCAS ELECTRICAL &gt;&gt; DF2657 | LUCAS ELECTRICAL &gt;&gt; DF4004 | LUCAS ELECTRICAL &gt;&gt; 6026574 | LUCAS ELECTRICAL &gt;&gt; DF2646 | BOSCH &gt;&gt; 986478350 | BOSCH &gt;&gt; 0986478350 | TEXTAR &gt;&gt; 98200060801 | TEXTAR &gt;&gt; 982000608 | TEXTAR &gt;&gt; 92060800 | JURID &gt;&gt; 561383J | BENDIX &gt;&gt; 561383B | FTE &gt;&gt; BS4369 | FTE &gt;&gt; BS3649 | QUINTON HAZELL &gt;&gt; BSF4369 | QUINTON HAZELL &gt;&gt; BSF5047 | QUINTON HAZELL &gt;&gt; BSF3649 | QUINTON HAZELL &gt;&gt; BDC5047 | QUINTON HAZELL &gt;&gt; BDC4369 | QUINTON HAZELL &gt;&gt; BDC3649 | QUINTON HAZELL &gt;&gt; 652100 | QUINTON HAZELL &gt;&gt; 608300 | FERODO &gt;&gt; DDF785 | FERODO &gt;&gt; DDF468 | BREMBO &gt;&gt; 08710414 | BREMBO &gt;&gt; 8710475 | BREMBO &gt;&gt; 8960510 | BREMBO &gt;&gt; 08960510 | BREMBO &gt;&gt; 8710414 | BREMBO &gt;&gt; 8710410 | BREMBO &gt;&gt; 8683710 | BREMBO &gt;&gt; 08683710 | BREMBO &gt;&gt; 08710475 | BREMBO &gt;&gt; 08710410 | HERTH+BUSS ELPARTS &gt;&gt; J3314003 | MINTEX &gt;&gt; MDC644 | DELPHI &gt;&gt; BG2538 | ROULUNDS RUBBER &gt;&gt; D2196 | METELLI &gt;&gt; 230267 | NK &gt;&gt; 1815202613 | ROADHOUSE &gt;&gt; 652100 | ROADHOUSE &gt;&gt; 608300 | REMSA &gt;&gt; 652100 | REMSA &gt;&gt; 608300 | JAPANPARTS &gt;&gt; DP402 | A.B.S. &gt;&gt; 15964 | A.B.S. &gt;&gt; 15983OE | A.B.S. &gt;&gt; 15983 | LPR &gt;&gt; H1171P | TRUSTING &gt;&gt; DF051 | TRW &gt;&gt; DF4004 | TRW &gt;&gt; DF2657 | TRW &gt;&gt; DF2646 | TRIPLE FIVE &gt;&gt; ADC3313 | TRIPLE FIVE &gt;&gt; YH1056 | TRIPLE FIVE &gt;&gt; E169207 | ASHIKA &gt;&gt; 6104402 | NIPPARTS &gt;&gt; J3314003 | MGA &gt;&gt; D1067 | ABEX &gt;&gt; W0613 | PILENGA &gt;&gt; 5304 | sbs &gt;&gt; 1815202613 | DEX &gt;&gt; DF051 | MOTAQUIP &gt;&gt; VBD457 | MOTAQUIP &gt;&gt; LVBD457 | NPS &gt;&gt; H331A02</t>
  </si>
  <si>
    <t>Fitting Position,  &gt;&gt; Front Axle | O, mm &gt;&gt; 242 | Height, mm &gt;&gt; 44 | Brake Disc Type,  &gt;&gt; Vented | Brake Disc Thickness, mm &gt;&gt; 19 | Min. thickness, mm &gt;&gt; 17 | Num. of holes,  &gt;&gt; 4 | Centering Diameter, mm &gt;&gt; 61</t>
  </si>
  <si>
    <t>HONDA &gt;&gt; 45251SB2981 | HONDA &gt;&gt; 45251SB2780 | HONDA &gt;&gt; 45251SB2782 | HONDA &gt;&gt; 45251SB2980 | HONDA &gt;&gt; 45251SB2781 | HONDA &gt;&gt; 45251SB2982 | HONDA &gt;&gt; 45251SB2990 | ACURA &gt;&gt; 45251SB2990 | ATE &gt;&gt; 419106 | ATE &gt;&gt; 24011901061 | PAGID &gt;&gt; 51113 | LUCAS ELECTRICAL &gt;&gt; DF1963 | VALEO &gt;&gt; 186431 | BOSCH &gt;&gt; 986478503 | BOSCH &gt;&gt; 0986478503 | TEXTAR &gt;&gt; 982000607 | TEXTAR &gt;&gt; 98200060701 | TEXTAR &gt;&gt; 92060700 | JURID &gt;&gt; 561384J | BENDIX &gt;&gt; 561384B | FTE &gt;&gt; BS3591 | HERTH+BUSS JAKOPARTS &gt;&gt; J3304019 | QUINTON HAZELL &gt;&gt; BDC3591 | FERODO &gt;&gt; DDF377 | FERODO &gt;&gt; DDF3771 | BREMBO &gt;&gt; 09502310 | MINTEX &gt;&gt; MDC645 | ZIMMERMANN &gt;&gt; 280208800 | DELPHI &gt;&gt; BG2399 | METZGER &gt;&gt; 1191324 | METELLI &gt;&gt; 230306 | NK &gt;&gt; 202612 | ROADHOUSE &gt;&gt; 636910 | REMSA &gt;&gt; 636910 | LPR &gt;&gt; H1141V | TRUSTING &gt;&gt; DF236 | TRW &gt;&gt; DF1963 | HP (ZEBRA) &gt;&gt; 53480 | ROULUNDS BRAKING &gt;&gt; D2195 | NECTO &gt;&gt; WN664 | NIPPARTS &gt;&gt; J3304019 | MGA &gt;&gt; D1106 | Brake ENGINEERING &gt;&gt; DI952450 | APEC braking &gt;&gt; DSK190 | sbs &gt;&gt; 1815202612 | CIFAM &gt;&gt; 800306 | GALFER &gt;&gt; 24537VF | LUCAS &gt;&gt; DF1963</t>
  </si>
  <si>
    <t>Fitting Position,  &gt;&gt; Front Axle | O, mm &gt;&gt; 242 | Height, mm &gt;&gt; 44 | Brake Disc Type,  &gt;&gt; Vented | Brake Disc Thickness, mm &gt;&gt; 19 | Min. thickness, mm &gt;&gt; 17 | Num. of holes,  &gt;&gt; 4 | Centering Diameter, mm &gt;&gt; 61 |  &gt;&gt; Coated | Version,  &gt;&gt; JC</t>
  </si>
  <si>
    <t>FERODO &gt;&gt; DDF377</t>
  </si>
  <si>
    <t>Fitting Position,  &gt;&gt; Rear Axle | O, mm &gt;&gt; 239 | Height, mm &gt;&gt; 48 | Brake Disc Type,  &gt;&gt; Solid | Brake Disc Thickness, mm &gt;&gt; 9 | Min. thickness, mm &gt;&gt; 8 | Num. of holes,  &gt;&gt; 4 | Centering Diameter, mm &gt;&gt; 61</t>
  </si>
  <si>
    <t>HONDA &gt;&gt; 42510SR3A11 | HONDA &gt;&gt; 42510SR3000 | HONDA &gt;&gt; 42510SR3A10 | HONDA &gt;&gt; 42510SR3G00 | HONDA &gt;&gt; 42510SR3J01 | HONDA &gt;&gt; 42510SR3J00 | ACURA &gt;&gt; 42510SR3A10 | ACURA &gt;&gt; 42510SR3A11 | ATE &gt;&gt; 409111 | ATE &gt;&gt; 24010901111 | PAGID &gt;&gt; 51122 | VALEO &gt;&gt; 186432 | BOSCH &gt;&gt; 0986479101 | TEXTAR &gt;&gt; 98200077901 | TEXTAR &gt;&gt; 92077900 | JURID &gt;&gt; 562016J | BENDIX &gt;&gt; 562016B | FTE &gt;&gt; BS4746 | HERTH+BUSS JAKOPARTS &gt;&gt; J3314009 | QUINTON HAZELL &gt;&gt; BDC4746 | FERODO &gt;&gt; DDF13581 | FERODO &gt;&gt; DDF1358 | BREMBO &gt;&gt; 08571910 | MINTEX &gt;&gt; MDC846 | PEX &gt;&gt; 140223 | BORG &amp; BECK &gt;&gt; BBD4093 | ZIMMERMANN &gt;&gt; 280318020 | DELPHI &gt;&gt; BG2538 | METZGER &gt;&gt; 1191555 | TRISCAN &gt;&gt; 812040117 | NK &gt;&gt; 202621 | OPTIMAL &gt;&gt; BS0830 | ROADHOUSE &gt;&gt; 652100 | REMSA &gt;&gt; 652100 | ICER &gt;&gt; 78BD1703 | NATIONAL &gt;&gt; NBD1507 | LPR &gt;&gt; H1471P | TRUSTING &gt;&gt; DF051 | TRUSTING &gt;&gt; DF113 | TRW &gt;&gt; DF2657 | TRW &gt;&gt; DF4191 | HP (ZEBRA) &gt;&gt; 53481 | NECTO &gt;&gt; WN1331 | NIPPARTS &gt;&gt; J3314009 | MGA &gt;&gt; D1325 | Brake ENGINEERING &gt;&gt; DI955373 | APEC braking &gt;&gt; DSK252 | sbs &gt;&gt; 1815202621 | COMLINE &gt;&gt; ADC0510 | GALFER &gt;&gt; 24326R | A.B.S. &gt;&gt; 16192</t>
  </si>
  <si>
    <t>Fitting Position,  &gt;&gt; Rear Axle | O, mm &gt;&gt; 239 | Height, mm &gt;&gt; 48 | Brake Disc Type,  &gt;&gt; Solid | Brake Disc Thickness, mm &gt;&gt; 9 | Min. thickness, mm &gt;&gt; 8 | Num. of holes,  &gt;&gt; 4 | Centering Diameter, mm &gt;&gt; 61 |  &gt;&gt; Coated | Version,  &gt;&gt; JC</t>
  </si>
  <si>
    <t>FERODO &gt;&gt; DDF1358</t>
  </si>
  <si>
    <t>BENDIX</t>
  </si>
  <si>
    <t>Brake Disc Type,  &gt;&gt; Solid | O, mm &gt;&gt; 237 | Brake Disc Thickness, mm &gt;&gt; 10 | Height, mm &gt;&gt; 34 | Centering Diameter, mm &gt;&gt; 48 | Num. of holes,  &gt;&gt; 4 | Min. thickness, mm &gt;&gt; 8 | Version,  &gt;&gt; B</t>
  </si>
  <si>
    <t>Fitting Position &gt;&gt; Rear Axle | from construction year &gt;&gt; 10/1985 | to construction year &gt;&gt; 09/1989</t>
  </si>
  <si>
    <t>HONDA &gt;&gt; 42510SE0010 | HONDA &gt;&gt; 42510SR3J01 | HONDA &gt;&gt; 42510SE0000 | HONDA &gt;&gt; 42510SD2A00 | HONDA &gt;&gt; 42510SH3000 | HONDA &gt;&gt; 42510SH3G01 | HONDA &gt;&gt; 42510SK3E00 | HONDA &gt;&gt; 42510SR3000 | HONDA &gt;&gt; 42510SK3305 | HONDA &gt;&gt; 42510SH3G00 | MG &gt;&gt; EGP1254 | ROVER &gt;&gt; GDB90817 | ROVER &gt;&gt; EGP1254 | ROVER &gt;&gt; GBD90817 | LOTUS &gt;&gt; GBD90817 | ACURA &gt;&gt; 42510SD2A00 | ACURA &gt;&gt; 42510SH3G00 | ATE &gt;&gt; 410212 | ATE &gt;&gt; 24011002121 | ATE &gt;&gt; 24010901111 | PAGID &gt;&gt; 51106 | LUCAS ELECTRICAL &gt;&gt; DF2646 | LUCAS ELECTRICAL &gt;&gt; DF1440 | VALEO &gt;&gt; 186435 | BOSCH &gt;&gt; 0986478350 | BOSCH &gt;&gt; 986478350 | TEXTAR &gt;&gt; 98200060801 | TEXTAR &gt;&gt; 92060800 | TEXTAR &gt;&gt; 982000608 | JURID &gt;&gt; 561383JC | JURID &gt;&gt; 561383J | FTE &gt;&gt; BS4369 | FTE &gt;&gt; BS3649 | HERTH+BUSS JAKOPARTS &gt;&gt; J3314003 | QUINTON HAZELL &gt;&gt; BDC3649 | QUINTON HAZELL &gt;&gt; BDC4369 | FERODO &gt;&gt; DDF468 | BREMBO &gt;&gt; 08564810 | BREMBO &gt;&gt; 08710410 | MINTEX &gt;&gt; MDC846 | MINTEX &gt;&gt; MDC644 | BORG &amp; BECK &gt;&gt; BBD4933 | ZIMMERMANN &gt;&gt; 280317000 | DELPHI &gt;&gt; BG2538 | METELLI &gt;&gt; 230267 | NK &gt;&gt; 202613 | ROADHOUSE &gt;&gt; 608300 | ROADHOUSE &gt;&gt; 652100 | REMSA &gt;&gt; 652100 | REMSA &gt;&gt; 608300 | ICER &gt;&gt; 78BD1703 | ICER &gt;&gt; 78BD0817 | QH Benelux &gt;&gt; 57352 | QH Benelux &gt;&gt; 53479 | LPR &gt;&gt; H1496P | TRUSTING &gt;&gt; DF113 | TRUSTING &gt;&gt; DF104 | TRUSTING &gt;&gt; DF051 | TRW &gt;&gt; DF2646 | TRW &gt;&gt; DF1440 | ROULUNDS BRAKING &gt;&gt; D2196 | NIPPARTS &gt;&gt; J3314003 | MGA &gt;&gt; D1067 | Brake ENGINEERING &gt;&gt; DI955373 | Brake ENGINEERING &gt;&gt; DI952480 | APEC braking &gt;&gt; DSK252 | APEC braking &gt;&gt; DSK257 | sbs &gt;&gt; 1815202613 | CIFAM &gt;&gt; 800267 | COMLINE &gt;&gt; ADC0518 | STOP &gt;&gt; 561383S | GALFER &gt;&gt; 24256R | JURATEK &gt;&gt; ROV102 | LUCAS &gt;&gt; DF2646 | LUCAS &gt;&gt; DF1440</t>
  </si>
  <si>
    <t>Brake Disc Type,  &gt;&gt; Solid | O, mm &gt;&gt; 237 | Brake Disc Thickness, mm &gt;&gt; 10 | Height, mm &gt;&gt; 34 | Centering Diameter, mm &gt;&gt; 48 | Num. of holes,  &gt;&gt; 4 | Min. thickness, mm &gt;&gt; 8 |  &gt;&gt; Coated | Version,  &gt;&gt; BC</t>
  </si>
  <si>
    <t>Brake Disc Type,  &gt;&gt; Vented | O, mm &gt;&gt; 242 | Brake Disc Thickness, mm &gt;&gt; 19 | Height, mm &gt;&gt; 44 | Centering Diameter, mm &gt;&gt; 61 | Num. of holes,  &gt;&gt; 4 | Min. thickness, mm &gt;&gt; 17 | Version,  &gt;&gt; B</t>
  </si>
  <si>
    <t>Fitting Position &gt;&gt; Front Axle | from construction year &gt;&gt; 10/1985</t>
  </si>
  <si>
    <t>HONDA &gt;&gt; 45251SB2980 | HONDA &gt;&gt; 45251SB2780 | HONDA &gt;&gt; 45251SB2781 | HONDA &gt;&gt; 45251SB2782 | HONDA &gt;&gt; 45251SB2981 | HONDA &gt;&gt; 45251SB2982 | HONDA &gt;&gt; 45251SB2990 | ACURA &gt;&gt; 45251SB2990 | ATE &gt;&gt; 419106 | ATE &gt;&gt; 24011901061 | PAGID &gt;&gt; 51113 | LUCAS ELECTRICAL &gt;&gt; DF1963 | VALEO &gt;&gt; 186431 | BOSCH &gt;&gt; 986478503 | BOSCH &gt;&gt; 0986478503 | TEXTAR &gt;&gt; 92060700 | TEXTAR &gt;&gt; 98200060701 | TEXTAR &gt;&gt; 982000607 | JURID &gt;&gt; 561384JC | JURID &gt;&gt; 561384J | FTE &gt;&gt; BS3591 | HERTH+BUSS JAKOPARTS &gt;&gt; J3304019 | QUINTON HAZELL &gt;&gt; BDC3591 | FERODO &gt;&gt; DDF377 | FERODO &gt;&gt; DDF3771 | BREMBO &gt;&gt; 9502310 | BREMBO &gt;&gt; 09502310 | MINTEX &gt;&gt; MDC645 | ZIMMERMANN &gt;&gt; 280208852 | ZIMMERMANN &gt;&gt; 280208800 | DELPHI &gt;&gt; BG2399 | METZGER &gt;&gt; 1191324 | METELLI &gt;&gt; 230306 | NK &gt;&gt; 202612 | ROADHOUSE &gt;&gt; 636910 | ROADHOUSE &gt;&gt; 63691 | REMSA &gt;&gt; 636910 | QH Benelux &gt;&gt; 53480 | LPR &gt;&gt; H1141V | TRUSTING &gt;&gt; DF236 | TRW &gt;&gt; DF1963 | ROULUNDS BRAKING &gt;&gt; D2195 | NIPPARTS &gt;&gt; J3304019 | MGA &gt;&gt; D1106 | Brake ENGINEERING &gt;&gt; DI952450 | APEC braking &gt;&gt; DSK190 | HELLA PAGID &gt;&gt; 8DD355103101 | sbs &gt;&gt; 1815202612 | CIFAM &gt;&gt; 800306 | GALFER &gt;&gt; 24537VF | LUCAS &gt;&gt; DF1963</t>
  </si>
  <si>
    <t>Brake Disc Type,  &gt;&gt; Vented | O, mm &gt;&gt; 242 | Brake Disc Thickness, mm &gt;&gt; 19 | Height, mm &gt;&gt; 44 | Centering Diameter, mm &gt;&gt; 61 | Num. of holes,  &gt;&gt; 4 | Min. thickness, mm &gt;&gt; 17 |  &gt;&gt; Coated | Version,  &gt;&gt; BC</t>
  </si>
  <si>
    <t>Brake Disc Type,  &gt;&gt; Solid | O, mm &gt;&gt; 239 | Brake Disc Thickness, mm &gt;&gt; 9 | Height, mm &gt;&gt; 48 | Centering Diameter, mm &gt;&gt; 61 | Num. of holes,  &gt;&gt; 4 | Min. thickness, mm &gt;&gt; 8 | Version,  &gt;&gt; B</t>
  </si>
  <si>
    <t>Fitting Position &gt;&gt; Rear Axle | from construction year &gt;&gt; 10/1989</t>
  </si>
  <si>
    <t>HONDA &gt;&gt; 42510SR3A11 | HONDA &gt;&gt; 42510SR3000 | HONDA &gt;&gt; 42510SR3A10 | HONDA &gt;&gt; 42510SR3G00 | HONDA &gt;&gt; 42510SR3J00 | HONDA &gt;&gt; 42510SR3J01 | ACURA &gt;&gt; 42510SR3A10 | ACURA &gt;&gt; 42510SR3A11 | ATE &gt;&gt; 409111 | ATE &gt;&gt; 24010901111 | PAGID &gt;&gt; 51122 | VALEO &gt;&gt; 186432 | BOSCH &gt;&gt; 0986479101 | TEXTAR &gt;&gt; 98200077901 | TEXTAR &gt;&gt; 92077900 | JURID &gt;&gt; 562016J | JURID &gt;&gt; 562016JC | FTE &gt;&gt; BS4746 | HERTH+BUSS JAKOPARTS &gt;&gt; J3314009 | QUINTON HAZELL &gt;&gt; BDC4746 | FERODO &gt;&gt; DDF950 | FERODO &gt;&gt; DDF9501 | FERODO &gt;&gt; DDF1358 | FERODO &gt;&gt; DDF13581 | BREMBO &gt;&gt; 8571910 | BREMBO &gt;&gt; 08A92010 | BREMBO &gt;&gt; 08571910 | MINTEX &gt;&gt; MDC846 | PEX &gt;&gt; 140223 | BORG &amp; BECK &gt;&gt; BBD4093 | ZIMMERMANN &gt;&gt; 280318020 | DELPHI &gt;&gt; BG2538 | METZGER &gt;&gt; 1191555 | TRISCAN &gt;&gt; 812040117 | NK &gt;&gt; 202621 | OPTIMAL &gt;&gt; BS0830 | ROADHOUSE &gt;&gt; 652100 | ROADHOUSE &gt;&gt; 6521 | REMSA &gt;&gt; 652100 | ICER &gt;&gt; 78BD1703 | QH Benelux &gt;&gt; 53481 | NATIONAL &gt;&gt; NBD1507 | A.B.S. &gt;&gt; 16192 | LPR &gt;&gt; H1471P | TRUSTING &gt;&gt; DF113 | TRUSTING &gt;&gt; DF051 | TRW &gt;&gt; DF4191 | TRW &gt;&gt; DF2657 | NIPPARTS &gt;&gt; J3314009 | MGA &gt;&gt; D1325 | Brake ENGINEERING &gt;&gt; DI955373 | APEC braking &gt;&gt; DSK252 | HELLA PAGID &gt;&gt; 8DD355104951 | sbs &gt;&gt; 1815202621 | COMLINE &gt;&gt; ADC0510 | GALFER &gt;&gt; 24326R</t>
  </si>
  <si>
    <t>Brake Disc Type,  &gt;&gt; Solid | O, mm &gt;&gt; 239 | Brake Disc Thickness, mm &gt;&gt; 9 | Height, mm &gt;&gt; 48 | Centering Diameter, mm &gt;&gt; 61 | Num. of holes,  &gt;&gt; 4 | Min. thickness, mm &gt;&gt; 8 |  &gt;&gt; Coated | Version,  &gt;&gt; BC</t>
  </si>
  <si>
    <t>HONDA &gt;&gt; 42510SR3J01 | HONDA &gt;&gt; 42510SR3A10 | ACURA &gt;&gt; 42510SR3A10 | ATE &gt;&gt; 409111 | ATE &gt;&gt; 24010901111 | BOSCH &gt;&gt; 0986479101 | JURID &gt;&gt; 562016JC | JURID &gt;&gt; 562016J | BENDIX &gt;&gt; 562016BC | BENDIX &gt;&gt; 562016B | QUINTON HAZELL &gt;&gt; BDC4746P | QUINTON HAZELL &gt;&gt; BDC4746 | FERODO &gt;&gt; DDF13581 | BREMBO &gt;&gt; 08A92010 | MINTEX &gt;&gt; MDC846 | DELPHI &gt;&gt; BG2538 | QH Benelux &gt;&gt; 53481 | TRW &gt;&gt; DF4191 | NECTO &gt;&gt; WN1331 | Brake ENGINEERING &gt;&gt; DI955373 | APEC braking &gt;&gt; DSK257 | APEC braking &gt;&gt; DSK252 | sbs &gt;&gt; 1815202621 | BLUE PRINT &gt;&gt; ADH24327</t>
  </si>
  <si>
    <t>Fitting Position,  &gt;&gt; Rear Axle | O, mm &gt;&gt; 239 | Height, mm &gt;&gt; 49 | Weight, kg &gt;&gt; 3,61 | Brake Disc Type,  &gt;&gt; Solid | Brake Disc Thickness, mm &gt;&gt; 10 | Min. thickness, mm &gt;&gt; 8 | Num. of holes,  &gt;&gt; 4 | Centering Diameter, mm &gt;&gt; 61 |  &gt;&gt; Piece</t>
  </si>
  <si>
    <t>HONDA &gt;&gt; 42510SR3A10 | HONDA &gt;&gt; 42510SR3J01 | ACURA &gt;&gt; 42510SR3A10 | ATE &gt;&gt; 24010901111 | ATE &gt;&gt; 409111 | BOSCH &gt;&gt; 0986479101 | BENDIX &gt;&gt; 562016BC | BENDIX &gt;&gt; 562016B | QUINTON HAZELL &gt;&gt; BDC4746P | QUINTON HAZELL &gt;&gt; BDC4746 | FERODO &gt;&gt; DDF13581 | BREMBO &gt;&gt; 08A92010 | MINTEX &gt;&gt; MDC846 | DELPHI &gt;&gt; BG2538 | TRW &gt;&gt; DF4191 | NECTO &gt;&gt; WN1331 | Brake ENGINEERING &gt;&gt; DI955373 | APEC braking &gt;&gt; DSK257 | APEC braking &gt;&gt; DSK252 | sbs &gt;&gt; 1815202621 | BLUE PRINT &gt;&gt; ADH24327</t>
  </si>
  <si>
    <t>Fitting Position,  &gt;&gt; Front Axle | O, mm &gt;&gt; 242 | Height, mm &gt;&gt; 44 | Weight, kg &gt;&gt; 8,34 | Brake Disc Type,  &gt;&gt; Vented | Brake Disc Thickness, mm &gt;&gt; 19 | Min. thickness, mm &gt;&gt; 17 | Num. of holes,  &gt;&gt; 4 | Centering Diameter, mm &gt;&gt; 61 | Tightening Torque, Nm &gt;&gt; 110 |  &gt;&gt; with screws</t>
  </si>
  <si>
    <t>HONDA &gt;&gt; 45251SB2781 | HONDA &gt;&gt; 45251SB2990 | HONDA &gt;&gt; 45251SB2780 | HONDA &gt;&gt; 45251SB2782 | HONDA &gt;&gt; 45251SB2980 | HONDA &gt;&gt; 45251SB2981 | HONDA &gt;&gt; 45251SB2982 | ACURA &gt;&gt; 45251SB2780 | ACURA &gt;&gt; 45251SB2990 | ACURA &gt;&gt; 45251SB2980 | ACURA &gt;&gt; 45251SB2781 | ACURA &gt;&gt; 45251SB2782 | ATE &gt;&gt; 419106 | ATE &gt;&gt; 24011901061 | PAGID &gt;&gt; 51113 | VALEO &gt;&gt; 186431 | BOSCH &gt;&gt; 0986478503 | TEXTAR &gt;&gt; 982000607 | TEXTAR &gt;&gt; 98200060701 | TEXTAR &gt;&gt; 92060700 | JURID &gt;&gt; 561384J | JURID &gt;&gt; 561384JC | BENDIX &gt;&gt; 561384BC | BENDIX &gt;&gt; 561384B | FTE &gt;&gt; BS3591 | QUINTON HAZELL &gt;&gt; BDC3591P | QUINTON HAZELL &gt;&gt; BDC3591 | FERODO &gt;&gt; DDF3771 | BREMBO &gt;&gt; 09502310 | MINTEX &gt;&gt; MDC645 | ZIMMERMANN &gt;&gt; 280208800 | DELPHI &gt;&gt; BG399 | DELPHI &gt;&gt; BG2399 | METELLI &gt;&gt; 230306 | ROADHOUSE &gt;&gt; 63691 | REMSA &gt;&gt; 620420 | JAPANPARTS &gt;&gt; DI419 | QH Benelux &gt;&gt; 53480 | NATIONAL &gt;&gt; NBD170 | LPR &gt;&gt; H1141V | KAVO PARTS &gt;&gt; BR2212 | UNIPART &gt;&gt; GBD699 | GRAF &gt;&gt; DF29306 | TRW &gt;&gt; DF1963 | BRADI &gt;&gt; 1191324 | BRECO &gt;&gt; BS7938 | OBTEC A/S &gt;&gt; 815181808V | HP (ZEBRA) &gt;&gt; 53480 | ASHIKA &gt;&gt; 6004419 | NECTO &gt;&gt; WN664 | MGA &gt;&gt; D1106 | Brake ENGINEERING &gt;&gt; DI952450 | Brake ENGINEERING &gt;&gt; 952450 | APEC braking &gt;&gt; DSK190 | sbs &gt;&gt; 1815202612 | BLUE PRINT &gt;&gt; ADH24316 | FIRST LINE &gt;&gt; FBD048 | MOTAQUIP &gt;&gt; VBD393 | A.B.S. &gt;&gt; 15938</t>
  </si>
  <si>
    <t>Fitting Position,  &gt;&gt; Front Axle | O, mm &gt;&gt; 242 | Height, mm &gt;&gt; 44 | Weight, kg &gt;&gt; 4,17 | Brake Disc Type,  &gt;&gt; Vented | Brake Disc Thickness, mm &gt;&gt; 19 | Min. thickness, mm &gt;&gt; 17 | Num. of holes,  &gt;&gt; 4 | Centering Diameter, mm &gt;&gt; 61 | Tightening Torque, Nm &gt;&gt; 110 |  &gt;&gt; Piece |  &gt;&gt; with screws</t>
  </si>
  <si>
    <t>HONDA &gt;&gt; 45251SB2781 | HONDA &gt;&gt; 45251SB2982 | HONDA &gt;&gt; 45251SB2780 | HONDA &gt;&gt; 45251SB2990 | HONDA &gt;&gt; 45251SB2782 | HONDA &gt;&gt; 45251SB2980 | HONDA &gt;&gt; 45251SB2981 | ACURA &gt;&gt; 45251SB2990 | ACURA &gt;&gt; 45251SB2980 | ACURA &gt;&gt; 45251SB2782 | ACURA &gt;&gt; 45251SB2780 | ACURA &gt;&gt; 45251SB2781 | ATE &gt;&gt; 419106 | ATE &gt;&gt; 24011901061 | PAGID &gt;&gt; 51113 | VALEO &gt;&gt; 186431 | BOSCH &gt;&gt; 0986478503 | TEXTAR &gt;&gt; 98200060701 | TEXTAR &gt;&gt; 982000607 | TEXTAR &gt;&gt; 92060700 | JURID &gt;&gt; 8290451 | BENDIX &gt;&gt; 561384BC | BENDIX &gt;&gt; 561384B | FTE &gt;&gt; BS3591 | QUINTON HAZELL &gt;&gt; BDC3591 | QUINTON HAZELL &gt;&gt; BDC3591P | FERODO &gt;&gt; DDF3771 | BREMBO &gt;&gt; 09502310 | MINTEX &gt;&gt; MDC645 | ZIMMERMANN &gt;&gt; 280208800 | DELPHI &gt;&gt; BG399 | DELPHI &gt;&gt; BG2399 | METELLI &gt;&gt; 230306 | ROADHOUSE &gt;&gt; 63691 | REMSA &gt;&gt; 620420 | JAPANPARTS &gt;&gt; DI419 | NATIONAL &gt;&gt; NBD170 | LPR &gt;&gt; H1141V | KAVO PARTS &gt;&gt; BR2212 | UNIPART &gt;&gt; GBD699 | GRAF &gt;&gt; DF29306 | TRW &gt;&gt; DF1963 | BRADI &gt;&gt; 1191324 | BRECO &gt;&gt; BS7938 | OBTEC A/S &gt;&gt; 815181808V | HP (ZEBRA) &gt;&gt; 53480 | ASHIKA &gt;&gt; 6004419 | NECTO &gt;&gt; WN664 | MGA &gt;&gt; D1106 | Brake ENGINEERING &gt;&gt; DI952450 | Brake ENGINEERING &gt;&gt; 952450 | APEC braking &gt;&gt; DSK190 | sbs &gt;&gt; 1815202612 | BLUE PRINT &gt;&gt; ADH24316 | FIRST LINE &gt;&gt; FBD048 | MOTAQUIP &gt;&gt; VBD393 | A.B.S. &gt;&gt; 15938</t>
  </si>
  <si>
    <t>Fitting Position,  &gt;&gt; Rear Axle | O, mm &gt;&gt; 239 | Height, mm &gt;&gt; 33,4 | Weight, kg &gt;&gt; 6,44 | Brake Disc Type,  &gt;&gt; Solid | Brake Disc Thickness, mm &gt;&gt; 10 | Min. thickness, mm &gt;&gt; 8 | Num. of holes,  &gt;&gt; 4 | Centering Diameter, mm &gt;&gt; 48 |  &gt;&gt; without screws</t>
  </si>
  <si>
    <t>to construction year &gt;&gt; 09/1989</t>
  </si>
  <si>
    <t>HONDA &gt;&gt; 42510SH3000 | HONDA &gt;&gt; 42510SD2930 | HONDA &gt;&gt; 42510SD4A00 | HONDA &gt;&gt; 42510SD2A00 | ACURA &gt;&gt; 42510SD2A00 | ACURA &gt;&gt; 42510SD2930 | BENDIX &gt;&gt; 561383BC | QUINTON HAZELL &gt;&gt; BDC5047 | FERODO &gt;&gt; DDF7851 | BREMBO &gt;&gt; 08683710 | DELPHI &gt;&gt; BG2667 | REMSA &gt;&gt; 620810 | JAPANPARTS &gt;&gt; DP498 | QH Benelux &gt;&gt; 53481 | NATIONAL &gt;&gt; NBD380 | KAVO PARTS &gt;&gt; BR2219 | TRW &gt;&gt; DF4004 | ASHIKA &gt;&gt; 6104498 | Brake ENGINEERING &gt;&gt; 952460 | Brake ENGINEERING &gt;&gt; DI952460 | APEC braking &gt;&gt; DSK283 | BLUE PRINT &gt;&gt; ADH24319</t>
  </si>
  <si>
    <t>Fitting Position,  &gt;&gt; Rear Axle | O, mm &gt;&gt; 239 | Height, mm &gt;&gt; 33,4 | Weight, kg &gt;&gt; 3,22 | Brake Disc Type,  &gt;&gt; Solid | Brake Disc Thickness, mm &gt;&gt; 10 | Min. thickness, mm &gt;&gt; 8 | Num. of holes,  &gt;&gt; 4 | Centering Diameter, mm &gt;&gt; 48 |  &gt;&gt; Piece</t>
  </si>
  <si>
    <t>HONDA &gt;&gt; 42510SH3000 | HONDA &gt;&gt; 42510SD2930 | HONDA &gt;&gt; 42510SD4A00 | HONDA &gt;&gt; 42510SD2A00 | ACURA &gt;&gt; 42510SD2A00 | ACURA &gt;&gt; 42510SD2930 | BENDIX &gt;&gt; 561383BC | QUINTON HAZELL &gt;&gt; BDC5047 | FERODO &gt;&gt; DDF7851 | BREMBO &gt;&gt; 08683710 | DELPHI &gt;&gt; BG2667 | REMSA &gt;&gt; 620810 | JAPANPARTS &gt;&gt; DP498 | NATIONAL &gt;&gt; NBD380 | KAVO PARTS &gt;&gt; BR2219 | TRW &gt;&gt; DF4004 | ASHIKA &gt;&gt; 6104498 | NECTO &gt;&gt; WN1050 | Brake ENGINEERING &gt;&gt; 952460 | Brake ENGINEERING &gt;&gt; DI952460 | APEC braking &gt;&gt; DSK283 | BLUE PRINT &gt;&gt; ADH24319</t>
  </si>
  <si>
    <t>for Art.No.,  &gt;&gt; 09.5023.10 | Brake Disc Type,  &gt;&gt; Internally Vented | O, mm &gt;&gt; 242 | Brake Disc Thickness, mm &gt;&gt; 19 | Min. thickness, mm &gt;&gt; 17 | Height, mm &gt;&gt; 44 | Centering Diameter, mm &gt;&gt; 61 | Num. of holes,  &gt;&gt; 4 | Tightening Torque, Nm &gt;&gt; 108 |  &gt;&gt; with screws</t>
  </si>
  <si>
    <t>HONDA &gt;&gt; 45251SB2782 | HONDA &gt;&gt; 45251SB2780 | HONDA &gt;&gt; 45251SB2781 | HONDA &gt;&gt; 45251SB2980 | HONDA &gt;&gt; 45251SB2990 | ACURA &gt;&gt; 45251SB2781 | ACURA &gt;&gt; 45251SB2780 | ACURA &gt;&gt; 45251SB2990 | ACURA &gt;&gt; 45251SB2782 | ACURA &gt;&gt; 45251SB2980 | ATE &gt;&gt; 24011901061 | VALEO &gt;&gt; 186431 | BOSCH &gt;&gt; 0986AB9535 | BOSCH &gt;&gt; 0986AB6320 | BOSCH &gt;&gt; 0986478503 | TEXTAR &gt;&gt; 92060700 | JURID &gt;&gt; 561384J | BENDIX &gt;&gt; 561384B | FERODO &gt;&gt; DDF377 | ZIMMERMANN &gt;&gt; 280208800 | METELLI &gt;&gt; 230306 | TRW &gt;&gt; DF1963 | BRECO &gt;&gt; BS7938 | Brake ENGINEERING &gt;&gt; DI952450 | AP &gt;&gt; 24202 | sbs &gt;&gt; 1815202612 | sbs &gt;&gt; 1815202605 | sbs &gt;&gt; 15938</t>
  </si>
  <si>
    <t>O, mm &gt;&gt; 262 | Height, mm &gt;&gt; 44,6 | Brake Disc Thickness, mm &gt;&gt; 21 | Min. thickness, mm &gt;&gt; 19 | Num. of holes,  &gt;&gt; 4 | Bolt Hole Circle O, mm &gt;&gt; 64,2 | Tightening Torque, Nm &gt;&gt; 11</t>
  </si>
  <si>
    <t>from construction year &gt;&gt; 12/1989 | Fitting Position &gt;&gt; Front Axle</t>
  </si>
  <si>
    <t>HONDA &gt;&gt; 45251SK7J00 | HONDA &gt;&gt; 45251SK7000 | HONDA &gt;&gt; 45251SK7A10 | HONDA &gt;&gt; 45251SK7A00 | HONDA &gt;&gt; 45251SR0A00 | HONDA &gt;&gt; 45251SR0A10 | HONDA &gt;&gt; 45251ST3E10 | ROVER &gt;&gt; SDB100600 | ROVER &gt;&gt; SDB000990 | ROVER &gt;&gt; GBD90840 | ACURA &gt;&gt; 45251SK7A00 | ATE &gt;&gt; 24012101051 | PAGID &gt;&gt; 51119 | LUCAS ELECTRICAL &gt;&gt; DF3021 | VALEO &gt;&gt; 186438 | BOSCH &gt;&gt; 0986478174 | LEMFORDER &gt;&gt; 1824202 | TEXTAR &gt;&gt; 92060900 | TEXTAR &gt;&gt; 98200060901 | JURID &gt;&gt; 561630J | BENDIX &gt;&gt; 561630B | FTE &gt;&gt; BS4372 | HERTH+BUSS JAKOPARTS &gt;&gt; J3304026 | QUINTON HAZELL &gt;&gt; BSF4357 | QUINTON HAZELL &gt;&gt; BDC4372 | QUINTON HAZELL &gt;&gt; BDC4357 | QUINTON HAZELL &gt;&gt; 622410 | QUINTON HAZELL &gt;&gt; BSF4372 | FERODO &gt;&gt; DRF492S | FERODO &gt;&gt; DRF492 | FERODO &gt;&gt; DDF492 | BREMBO &gt;&gt; 09550975 | BREMBO &gt;&gt; 09550914 | MINTEX &gt;&gt; MDC1023 | PEX &gt;&gt; 140232 | ZIMMERMANN &gt;&gt; 280315300 | DELPHI &gt;&gt; BG2759 | DELPHI &gt;&gt; BG2673 | FEBI BILSTEIN &gt;&gt; 10911 | TRISCAN &gt;&gt; 812040113 | METELLI &gt;&gt; 230344 | OPTIMAL &gt;&gt; BS2240 | MAPCO &gt;&gt; 15603 | MEYLE &gt;&gt; 31155210015 | REMSA &gt;&gt; 622410 | REMSA &gt;&gt; 621520 | JAPANPARTS &gt;&gt; DI426 | QH Benelux &gt;&gt; HP57385 | A.B.S. &gt;&gt; 16117S | A.B.S. &gt;&gt; 16117OE | A.B.S. &gt;&gt; 16117 | A.B.S. &gt;&gt; 16039S | A.B.S. &gt;&gt; 16039OE | A.B.S. &gt;&gt; 16039 | LPR &gt;&gt; H1271V | TRUSTING &gt;&gt; DF300 | GRAF &gt;&gt; DF29344 | KWP &gt;&gt; 129344 | TRW &gt;&gt; DF3021 | SWAG &gt;&gt; 85910911 | BRECO &gt;&gt; BS8039 | ACDelco &gt;&gt; AC2200D | ASHIKA &gt;&gt; 6004426 | KAGER &gt;&gt; 370117 | GIRLING &gt;&gt; 6030211 | AP &gt;&gt; 24335E | AP &gt;&gt; X24335 | CIFAM &gt;&gt; 800344</t>
  </si>
  <si>
    <t>O, mm &gt;&gt; 262 | Height, mm &gt;&gt; 44,6 | Brake Disc Thickness, mm &gt;&gt; 21 | Min. thickness, mm &gt;&gt; 19 | Num. of holes,  &gt;&gt; 4 | Bolt Hole Circle O, mm &gt;&gt; 64,2 | Tightening Torque, Nm &gt;&gt; 108</t>
  </si>
  <si>
    <t>HONDA &gt;&gt; 45251SK7000 | HONDA &gt;&gt; 45251SR0A00 | HONDA &gt;&gt; 45251SR0A10 | HONDA &gt;&gt; 45251ST3E10 | HONDA &gt;&gt; 45251SK7A00 | HONDA &gt;&gt; 45251SK7A10 | HONDA &gt;&gt; 45251SK7J00 | MG &gt;&gt; SDB100600 | ROVER &gt;&gt; SDB100600 | ROVER &gt;&gt; SDB000990 | ROVER &gt;&gt; GBD90840 | ACURA &gt;&gt; 45251SR0A10 | ACURA &gt;&gt; 45251SR0A00 | ACURA &gt;&gt; 45251SK7A00 | ACURA &gt;&gt; 45251SK7000 | ATE &gt;&gt; 24012101051 | PAGID &gt;&gt; 51119 | LUCAS ELECTRICAL &gt;&gt; DF3021 | VALEO &gt;&gt; 186438 | BOSCH &gt;&gt; 0986478174 | LEMFORDER &gt;&gt; 1824202 | TEXTAR &gt;&gt; 92060900 | TEXTAR &gt;&gt; 98200060901 | JURID &gt;&gt; 561630J | BENDIX &gt;&gt; 561630B | FTE &gt;&gt; BS4372 | HERTH+BUSS JAKOPARTS &gt;&gt; J3304026 | QUINTON HAZELL &gt;&gt; BSF4357 | QUINTON HAZELL &gt;&gt; BSF4372 | QUINTON HAZELL &gt;&gt; BDC4357 | QUINTON HAZELL &gt;&gt; BDC4372 | FERODO &gt;&gt; DRF492S | FERODO &gt;&gt; DRF492 | FERODO &gt;&gt; DDF492 | BREMBO &gt;&gt; 09550975 | BREMBO &gt;&gt; 09550914 | BREMBO &gt;&gt; 09550910 | MINTEX &gt;&gt; MDC1023 | PEX &gt;&gt; 140232 | ZIMMERMANN &gt;&gt; 280315300 | DELPHI &gt;&gt; BG2673 | DELPHI &gt;&gt; BG2759 | FEBI BILSTEIN &gt;&gt; 10911 | TRISCAN &gt;&gt; 812040113 | METELLI &gt;&gt; 230344 | OPTIMAL &gt;&gt; BS2240 | MAPCO &gt;&gt; 15603 | MEYLE &gt;&gt; 31155210015 | REMSA &gt;&gt; 621520 | REMSA &gt;&gt; 622410 | JAPANPARTS &gt;&gt; DI426 | QH Benelux &gt;&gt; HP57385 | A.B.S. &gt;&gt; 16039S | A.B.S. &gt;&gt; 16039OE | A.B.S. &gt;&gt; 16039 | A.B.S. &gt;&gt; 16117S | A.B.S. &gt;&gt; 16117OE | A.B.S. &gt;&gt; 16117 | LPR &gt;&gt; H1271V | TRUSTING &gt;&gt; DF300 | GRAF &gt;&gt; DF29344 | KWP &gt;&gt; 129344 | TRW &gt;&gt; DF3021 | SWAG &gt;&gt; 85910911 | BRECO &gt;&gt; BS8039 | ACDelco &gt;&gt; AC2200D | ASHIKA &gt;&gt; 6004426 | Brake ENGINEERING &gt;&gt; DI955262 | KAGER &gt;&gt; 370117 | GIRLING &gt;&gt; 6030211 | AP &gt;&gt; 24335E | AP &gt;&gt; X24335 | sbs &gt;&gt; 16039S | sbs &gt;&gt; 16039 | sbs &gt;&gt; 1815209940 | sbs &gt;&gt; 1815204012 | sbs &gt;&gt; 1815202622 | sbs &gt;&gt; 1815202620 | sbs &gt;&gt; 1815202614 | sbs &gt;&gt; 16117S | CIFAM &gt;&gt; 800344</t>
  </si>
  <si>
    <t>OPTIMAL</t>
  </si>
  <si>
    <t>Fitting Position,  &gt;&gt; Rear Axle | Brake Disc Type,  &gt;&gt; Solid | O, mm &gt;&gt; 238 | Brake Disc Thickness, mm &gt;&gt; 10 | Hole Pitch / Number,  &gt;&gt; 4/8 | Height, mm &gt;&gt; 48,4 | Min. thickness, mm &gt;&gt; 8 | Centering Diameter, mm &gt;&gt; 61</t>
  </si>
  <si>
    <t>from construction year &gt;&gt; 01/1990</t>
  </si>
  <si>
    <t>HONDA &gt;&gt; 42510SE0000 | HONDA &gt;&gt; 42510SE0010 | HONDA &gt;&gt; 42510SK3305 | HONDA &gt;&gt; 42510SK3E00 | HONDA &gt;&gt; 42510SH3G00 | ACURA &gt;&gt; 42510SH3G00 | ATE &gt;&gt; 24011002121 | PAGID &gt;&gt; 51106 | VALEO &gt;&gt; 186435 | VALEO &gt;&gt; 185209 | BOSCH &gt;&gt; 0986478350 | TEXTAR &gt;&gt; 982000608 | TEXTAR &gt;&gt; 98200060801 | JURID &gt;&gt; 561383J | JURID &gt;&gt; 561383JC | BENDIX &gt;&gt; 561383B | FTE &gt;&gt; BS4369 | QUINTON HAZELL &gt;&gt; BDC4369 | FERODO &gt;&gt; DDF4681 | FERODO &gt;&gt; DDF431 | FERODO &gt;&gt; DDF468 | BREMBO &gt;&gt; 08710414 | BREMBO &gt;&gt; 08710410 | BREMBO &gt;&gt; 08710475 | HERTH+BUSS ELPARTS &gt;&gt; J3314003 | MINTEX &gt;&gt; MDC0766 | PEX &gt;&gt; 140222 | ZIMMERMANN &gt;&gt; 280317000 | DELPHI &gt;&gt; BG538 | DELPHI &gt;&gt; BG2641 | DELPHI &gt;&gt; BG2538 | METZGER &gt;&gt; 1191554 | MAGNETI MARELLI &gt;&gt; 353611915540 | NK &gt;&gt; 202613 | ROADHOUSE &gt;&gt; 608300 | REMSA &gt;&gt; 608300 | NATIONAL &gt;&gt; NBD0377 | LPR &gt;&gt; H1171P | UNIPART &gt;&gt; GBD930 | TRW &gt;&gt; DF2646 | BRADI &gt;&gt; 1191554 | HAVAM &gt;&gt; 53479 | BRECO &gt;&gt; BS7547 | NIPPARTS &gt;&gt; J3314003 | AUTODISTRUBUTION &gt;&gt; 5442 | URPA &gt;&gt; 101320 | FIRST LINE &gt;&gt; FBD411 | MOTAQUIP &gt;&gt; VBD457 | LUCAS &gt;&gt; DF4004 | LUCAS &gt;&gt; DF2657 | LUCAS &gt;&gt; DF2646 | LUCAS &gt;&gt; DF1440</t>
  </si>
  <si>
    <t>Fitting Position,  &gt;&gt; Front Axle | Brake Disc Type,  &gt;&gt; Vented | O, mm &gt;&gt; 242 | Brake Disc Thickness, mm &gt;&gt; 19 | Hole Pitch / Number,  &gt;&gt; 4/8 | Height, mm &gt;&gt; 44 | Min. thickness, mm &gt;&gt; 17 | Centering Diameter, mm &gt;&gt; 61</t>
  </si>
  <si>
    <t>from construction year &gt;&gt; 01/1986 | to construction year &gt;&gt; 12/1989</t>
  </si>
  <si>
    <t>HONDA &gt;&gt; 45251SB2780 | HONDA &gt;&gt; 45251SB2990 | HONDA &gt;&gt; 45251SB278012 | HONDA &gt;&gt; 45251SB2781 | HONDA &gt;&gt; 45251SB2782 | ACURA &gt;&gt; 45251SB2782 | ACURA &gt;&gt; 45251SB2781 | ACURA &gt;&gt; 45251SB278012 | ACURA &gt;&gt; 45251SB2780 | ATE &gt;&gt; 24011901061 | PAGID &gt;&gt; 51113 | VALEO &gt;&gt; 186431 | BOSCH &gt;&gt; 0986478503 | TEXTAR &gt;&gt; 98200060701 | TEXTAR &gt;&gt; 982000607 | JURID &gt;&gt; 561384J | JURID &gt;&gt; 561384JC | BENDIX &gt;&gt; 561384B | BENDIX &gt;&gt; 561385B | FTE &gt;&gt; BS3591 | QUINTON HAZELL &gt;&gt; BSF3591 | QUINTON HAZELL &gt;&gt; BDC3591 | FERODO &gt;&gt; DRF377S | FERODO &gt;&gt; DDF377 | BREMBO &gt;&gt; 09502310 | BREMBO &gt;&gt; 09502314 | HERTH+BUSS ELPARTS &gt;&gt; J3304019 | MINTEX &gt;&gt; MDC0645 | MINTEX &gt;&gt; MDC645 | PEX &gt;&gt; 140221 | ZIMMERMANN &gt;&gt; 280208852 | ZIMMERMANN &gt;&gt; 280208850 | ZIMMERMANN &gt;&gt; 280208800 | DELPHI &gt;&gt; BG2399 | DELPHI &gt;&gt; BG399 | METZGER &gt;&gt; 1191324 | MAGNETI MARELLI &gt;&gt; 353611913240 | METELLI &gt;&gt; 230306 | NK &gt;&gt; 202612 | ROADHOUSE &gt;&gt; 636910 | REMSA &gt;&gt; 636910 | NATIONAL &gt;&gt; NBD0170 | LPR &gt;&gt; H1141V | UNIPART &gt;&gt; GBD699 | TRW &gt;&gt; DF1963 | BRADI &gt;&gt; 1191324 | HAVAM &gt;&gt; 53480 | BRECO &gt;&gt; BS7938 | NIPPARTS &gt;&gt; J3304019 | AUTODISTRUBUTION &gt;&gt; 5383 | AUTODISTRUBUTION &gt;&gt; 4266 | URPA &gt;&gt; 101422 | FIRST LINE &gt;&gt; FBD048 | MOTAQUIP &gt;&gt; VBD393 | LUCAS &gt;&gt; DF1963</t>
  </si>
  <si>
    <t>ROADHOUSE</t>
  </si>
  <si>
    <t>Fitting Position,  &gt;&gt; Front Axle | O, mm &gt;&gt; 242 | Brake Disc Thickness, mm &gt;&gt; 19 | Min. thickness, mm &gt;&gt; 17 | Height, mm &gt;&gt; 44 | Centering Diameter, mm &gt;&gt; 61 | Num. of holes,  &gt;&gt; 4 | Brake Disc Type,  &gt;&gt; Vented | Weight, kg &gt;&gt; 4,2</t>
  </si>
  <si>
    <t>HONDA &gt;&gt; 45251SB2781 | HONDA &gt;&gt; 45251SB2980 | HONDA &gt;&gt; 45251SB2780 | HONDA &gt;&gt; 45251SB2990 | HONDA &gt;&gt; 45251SB2782 | VW &gt;&gt; 230306 | ACURA &gt;&gt; 45251SB2782 | ACURA &gt;&gt; 45251SB2781 | ACURA &gt;&gt; 45251SB2780 | ATE &gt;&gt; 419106 | ATE &gt;&gt; 24011901061 | PAGID &gt;&gt; 51113 | BOSCH &gt;&gt; 0986478503 | TEXTAR &gt;&gt; 98200060701 | JURID &gt;&gt; 561384J | JURID &gt;&gt; 561385J | BENDIX &gt;&gt; 561384B | BENDIX &gt;&gt; 338776 | FERODO &gt;&gt; DDF377 | BREMBO &gt;&gt; 09502310 | ZIMMERMANN &gt;&gt; 280208850 | ZIMMERMANN &gt;&gt; 280208800 | ZIMMERMANN &gt;&gt; 2802088 | DELPHI &gt;&gt; BG399 | DELPHI &gt;&gt; BG2399 | METELLI &gt;&gt; 230306 | REMSA &gt;&gt; 636910 | JAPANPARTS &gt;&gt; DI419 | TRW &gt;&gt; DF1963 | BRADI &gt;&gt; 1191324 | FAG &gt;&gt; BS3591 | MGA &gt;&gt; D1106 | AP &gt;&gt; 24202 | WOKING &gt;&gt; D636910</t>
  </si>
  <si>
    <t>REMSA</t>
  </si>
  <si>
    <t>Fitting Position,  &gt;&gt; Front Axle | O, mm &gt;&gt; 242 | Height, mm &gt;&gt; 44 | Brake Disc Type,  &gt;&gt; Vented | Brake Disc Thickness, mm &gt;&gt; 19 | Min. thickness, mm &gt;&gt; 17 | Num. of holes,  &gt;&gt; 4 | Centering Diameter, mm &gt;&gt; 61 | Weight, kg &gt;&gt; 4,2</t>
  </si>
  <si>
    <t>HONDA &gt;&gt; 45251SB2781 | HONDA &gt;&gt; 45251SB2980 | HONDA &gt;&gt; 45251SB2780 | HONDA &gt;&gt; 45251SB2990 | HONDA &gt;&gt; 45251SB2782 | VW &gt;&gt; 230306 | ACURA &gt;&gt; 45251SB2782 | ACURA &gt;&gt; 45251SB2781 | ACURA &gt;&gt; 45251SB2780 | ATE &gt;&gt; 419106 | ATE &gt;&gt; 24011901061 | PAGID &gt;&gt; 51113 | BOSCH &gt;&gt; 0986478503 | TEXTAR &gt;&gt; 98200060701 | JURID &gt;&gt; 561384J | JURID &gt;&gt; 561385J | BENDIX &gt;&gt; 561384B | BENDIX &gt;&gt; 338776 | FERODO &gt;&gt; DDF377 | BREMBO &gt;&gt; 09502310 | ZIMMERMANN &gt;&gt; 280208850 | ZIMMERMANN &gt;&gt; 280208800 | ZIMMERMANN &gt;&gt; 2802088 | DELPHI &gt;&gt; BG399 | DELPHI &gt;&gt; BG2399 | METELLI &gt;&gt; 230306 | ROADHOUSE &gt;&gt; 636910 | REMSA &gt;&gt; BDM620420 | JAPANPARTS &gt;&gt; DI419 | TRW &gt;&gt; DF1963 | BRADI &gt;&gt; 1191324 | FAG &gt;&gt; BS3591 | MGA &gt;&gt; D1106 | AP &gt;&gt; 24202 | WOKING &gt;&gt; D636910</t>
  </si>
  <si>
    <t>TRW</t>
  </si>
  <si>
    <t>Brake Disc Type,  &gt;&gt; Vented | O, mm &gt;&gt; 242 | Brake Disc Thickness, mm &gt;&gt; 19 | Min. thickness, mm &gt;&gt; 17 | Centering Diameter, mm &gt;&gt; 61 | Height, mm &gt;&gt; 44 | Num. of holes,  &gt;&gt; 4 | Thread Size,  &gt;&gt; 12,6 | Bolt Hole Circle O, mm &gt;&gt; 100 |  &gt;&gt; Black |  &gt;&gt; Painted</t>
  </si>
  <si>
    <t>HONDA &gt;&gt; 45251SB2990 | HONDA &gt;&gt; 45251SB2780 | HONDA &gt;&gt; 45251SB2781 | HONDA &gt;&gt; 45251SB2782HS | HONDA &gt;&gt; 45251SB2980 | HONDA &gt;&gt; 45251SB2782 | ACURA &gt;&gt; 45251SB2990 | HELLA &gt;&gt; 8DD355103101 | ATE &gt;&gt; 419106 | ATE &gt;&gt; 24011901061 | PAGID &gt;&gt; 51113 | VALEO &gt;&gt; 186431 | BOSCH &gt;&gt; 986478503 | BOSCH &gt;&gt; 0986AB5221 | BOSCH &gt;&gt; 0986AB9535 | BOSCH &gt;&gt; F026A00821 | BOSCH &gt;&gt; 0986478503 | BOSCH &gt;&gt; 0986AB6320 | LEMFORDER &gt;&gt; 2246801 | TEXTAR &gt;&gt; 98200060701 | TEXTAR &gt;&gt; 92060700 | JURID &gt;&gt; 561385J | JURID &gt;&gt; 561384J | JURID &gt;&gt; 561384JC | BENDIX &gt;&gt; 338776 | BENDIX &gt;&gt; 561385B | BENDIX &gt;&gt; 561384B | BENDIX &gt;&gt; 561384BC | FTE &gt;&gt; BS3591 | HERTH+BUSS JAKOPARTS &gt;&gt; J3304019 | QUINTON HAZELL &gt;&gt; BSF3591 | QUINTON HAZELL &gt;&gt; BDC3591 | QUINTON HAZELL &gt;&gt; 636910 | FERODO &gt;&gt; DDF3771 | FERODO &gt;&gt; DDF377 | BREMBO &gt;&gt; 09502310 | MINTEX &gt;&gt; MDC645 | PEX &gt;&gt; 140221 | ZIMMERMANN &gt;&gt; 280208852 | ZIMMERMANN &gt;&gt; 280208850 | ZIMMERMANN &gt;&gt; 280208800 | ZIMMERMANN &gt;&gt; 2802088 | DELPHI &gt;&gt; BS3591 | DELPHI &gt;&gt; BG399 | DELPHI &gt;&gt; BG2399 | METZGER &gt;&gt; 636910 | MAGNETI MARELLI &gt;&gt; 353611913240 | ROULUNDS RUBBER &gt;&gt; D2195 | TRISCAN &gt;&gt; 812040103 | METELLI &gt;&gt; 230306 | NK &gt;&gt; 202612 | NK &gt;&gt; 312612 | MAPCO &gt;&gt; 15610 | MEYLE &gt;&gt; 31155210011PD | ROADHOUSE &gt;&gt; 636910 | REMSA &gt;&gt; 636910 | JAPANPARTS &gt;&gt; DI419 | QH Benelux &gt;&gt; 53480 | NATIONAL &gt;&gt; NBD170 | A.B.S. &gt;&gt; 15938 | LPR &gt;&gt; H1141V | GRAF &gt;&gt; DF29306 | BRADI &gt;&gt; 1191324 | OBTEC A/S &gt;&gt; 181808V | SEBRO &gt;&gt; 3453 | FAG &gt;&gt; BS3591 | ACDelco &gt;&gt; AC2195D | DBA &gt;&gt; DBA187 | CAR &gt;&gt; HPD916 | CAR &gt;&gt; 142916 | NIPPARTS &gt;&gt; J3304019 | MGA &gt;&gt; D1106 | Brake ENGINEERING &gt;&gt; DI952450 | APEC braking &gt;&gt; DSK190 | ABEX &gt;&gt; W0664 | GIRLING &gt;&gt; 6019631 | PILENGA &gt;&gt; V305 | WOKING &gt;&gt; P636910 | BLUE PRINT &gt;&gt; ADH24316 | FIRST LINE &gt;&gt; FBD048</t>
  </si>
  <si>
    <t>Brake Disc Type,  &gt;&gt; Solid | O, mm &gt;&gt; 239 | Brake Disc Thickness, mm &gt;&gt; 10 | Min. thickness, mm &gt;&gt; 8 | Centering Diameter, mm &gt;&gt; 48 | Height, mm &gt;&gt; 34 | Num. of holes,  &gt;&gt; 4 | Thread Size,  &gt;&gt; 13 | Bolt Hole Circle O, mm &gt;&gt; 100</t>
  </si>
  <si>
    <t>HONDA &gt;&gt; 42510SD2930 | HONDA &gt;&gt; 42510SD4A00 | HONDA &gt;&gt; 42510SH3000 | HONDA &gt;&gt; 42510SH3G00 | HONDA &gt;&gt; 42510SD2A00 | ACURA &gt;&gt; 42510SD2A00 | ACURA &gt;&gt; 42510SH3G00 | ATE &gt;&gt; 24011002541 | BOSCH &gt;&gt; 986478350 | TEXTAR &gt;&gt; 98200060801 | TEXTAR &gt;&gt; 92060800 | JURID &gt;&gt; 561383J | JURID &gt;&gt; 561383JC | BENDIX &gt;&gt; 561383B | FERODO &gt;&gt; DDF7851 | FERODO &gt;&gt; DDF785 | FERODO &gt;&gt; DDF468 | BREMBO &gt;&gt; 08683710 | PEX &gt;&gt; 140225 | DELPHI &gt;&gt; BG2667 | MEYLE &gt;&gt; 31155230001 | MEYLE &gt;&gt; 31155230012PD | MEYLE &gt;&gt; 31155230001PD | REMSA &gt;&gt; 608300 | A.B.S. &gt;&gt; 15969 | BRADI &gt;&gt; 1191954 | CAR &gt;&gt; HPD308 | CAR &gt;&gt; 142308 | FIRST LINE &gt;&gt; FBD411</t>
  </si>
  <si>
    <t>Brake Disc Type,  &gt;&gt; Solid | O, mm &gt;&gt; 239 | Brake Disc Thickness, mm &gt;&gt; 9 | Min. thickness, mm &gt;&gt; 8 | Centering Diameter, mm &gt;&gt; 61 | Height, mm &gt;&gt; 47,6 | Num. of holes,  &gt;&gt; 4 | Thread Size,  &gt;&gt; 12,7 | Bolt Hole Circle O, mm &gt;&gt; 100 |  &gt;&gt; Black |  &gt;&gt; Painted</t>
  </si>
  <si>
    <t>HONDA &gt;&gt; 42510SELT50 | HONDA &gt;&gt; 42510SR3000 | HONDA &gt;&gt; 42510SR3A11 | HONDA &gt;&gt; 42510SR3J00HS | HONDA &gt;&gt; 42510SS1000 | HONDA &gt;&gt; 42510SR3J01 | HONDA &gt;&gt; 42510SR3G00 | HONDA &gt;&gt; 42510SR3J00 | HONDA &gt;&gt; 42510SR3A10 | ACURA &gt;&gt; 42510SR3A11 | ACURA &gt;&gt; 42510SELT50 | ACURA &gt;&gt; 42510SR3A10 | HELLA &gt;&gt; 8DD355104951 | ATE &gt;&gt; 24010901111 | ATE &gt;&gt; 409111 | PAGID &gt;&gt; 51122 | VALEO &gt;&gt; 186435 | VALEO &gt;&gt; 186432 | RUVILLE &gt;&gt; BRR510210 | BOSCH &gt;&gt; 0986479101 | BOSCH &gt;&gt; 0986AB9842 | BOSCH &gt;&gt; F026A00896 | BOSCH &gt;&gt; 0986AB9725 | BOSCH &gt;&gt; 0986479942 | BOSCH &gt;&gt; 986478350 | LEMFORDER &gt;&gt; 1490602 | TEXTAR &gt;&gt; 92077900 | TEXTAR &gt;&gt; 98200077901 | JURID &gt;&gt; 562016J | JURID &gt;&gt; 562016JC | JURID &gt;&gt; 561383J | JURID &gt;&gt; 561383JC | BENDIX &gt;&gt; 562016B | BENDIX &gt;&gt; 562016BC | BENDIX &gt;&gt; 561383B | BENDIX &gt;&gt; 561383BC | FTE &gt;&gt; BS4746 | FTE &gt;&gt; BS4369 | HERTH+BUSS JAKOPARTS &gt;&gt; J3314019 | HERTH+BUSS JAKOPARTS &gt;&gt; J3314009 | HERTH+BUSS JAKOPARTS &gt;&gt; J3314003 | QUINTON HAZELL &gt;&gt; BSF4746 | QUINTON HAZELL &gt;&gt; BSF4369 | QUINTON HAZELL &gt;&gt; BDC4746 | QUINTON HAZELL &gt;&gt; BDC3649 | QUINTON HAZELL &gt;&gt; BDC4369 | FERODO &gt;&gt; DDF9501 | FERODO &gt;&gt; DDF950 | FERODO &gt;&gt; DDF1358 | FERODO &gt;&gt; DDF13581 | BREMBO &gt;&gt; 08A92010 | BREMBO &gt;&gt; 08571910 | MINTEX &gt;&gt; MDK0073 | MINTEX &gt;&gt; MDC644 | MINTEX &gt;&gt; MDC846 | PEX &gt;&gt; 140223 | PEX &gt;&gt; 140222 | ZIMMERMANN &gt;&gt; 280318020 | ZIMMERMANN &gt;&gt; 280317000 | DELPHI &gt;&gt; BG2538 | METZGER &gt;&gt; 652100 | METZGER &gt;&gt; 14683E | MAGNETI MARELLI &gt;&gt; 353611915550 | MAGNETI MARELLI &gt;&gt; 353611915540 | ROULUNDS RUBBER &gt;&gt; D2196 | TRISCAN &gt;&gt; 812040117 | TRISCAN &gt;&gt; 812040146 | METELLI &gt;&gt; 231049C | METELLI &gt;&gt; 230267 | NK &gt;&gt; 312621 | NK &gt;&gt; 202621 | MAPCO &gt;&gt; 15604 | MAPCO &gt;&gt; 15608 | MEYLE &gt;&gt; 31155230006PD | MEYLE &gt;&gt; 31155230006 | ROADHOUSE &gt;&gt; 652100 | REMSA &gt;&gt; 652100 | JAPANPARTS &gt;&gt; DP409 | JAPANPARTS &gt;&gt; DP402 | QH Benelux &gt;&gt; 57696 | NATIONAL &gt;&gt; NBD704 | NATIONAL &gt;&gt; NBD377 | A.B.S. &gt;&gt; 17471 | A.B.S. &gt;&gt; 16192 | A.B.S. &gt;&gt; 15983 | LPR &gt;&gt; H1471P | LPR &gt;&gt; H1171P | BRADI &gt;&gt; 1191555 | OBTEC A/S &gt;&gt; 181817 | OBTEC A/S &gt;&gt; 121212 | ACDelco &gt;&gt; AC2196D | DBA &gt;&gt; DBA475 | CAR &gt;&gt; 142853 | CAR &gt;&gt; HPD853 | CAR &gt;&gt; 1421621 | NIPPARTS &gt;&gt; J3314019 | NIPPARTS &gt;&gt; J3314003 | MGA &gt;&gt; D1325 | Brake ENGINEERING &gt;&gt; DI955373 | APEC braking &gt;&gt; DSK252 | GIRLING &gt;&gt; 6041914 | WOKING &gt;&gt; P652100 | WOKING &gt;&gt; P608300 | BLUE PRINT &gt;&gt; ADH24350 | BLUE PRINT &gt;&gt; ADH24327 | FIRST LINE &gt;&gt; FBD1043</t>
  </si>
  <si>
    <t>NATIONAL</t>
  </si>
  <si>
    <t>Fitting Position,  &gt;&gt; Front Axle | O, mm &gt;&gt; 242 | Height, mm &gt;&gt; 45 | Bore O, mm &gt;&gt; 60 | Brake Disc Type,  &gt;&gt; Vented | Brake Disc Thickness, mm &gt;&gt; 19 | Min. thickness, mm &gt;&gt; 17 | Num. of holes,  &gt;&gt; 4</t>
  </si>
  <si>
    <t>HONDA &gt;&gt; 45251SB2781 | HONDA &gt;&gt; 45251SB2780 | HONDA &gt;&gt; 45251SB2782 | HONDA &gt;&gt; 45251SB2980 | ATE &gt;&gt; 011901061 | PAGID &gt;&gt; 51113 | LUCAS ELECTRICAL &gt;&gt; DF1963 | BOSCH &gt;&gt; 0986478503 | TEXTAR &gt;&gt; 982000607 | JURID &gt;&gt; 561384J | BENDIX &gt;&gt; 561384B | QUINTON HAZELL &gt;&gt; BDC3591 | FERODO &gt;&gt; DDF377 | BREMBO &gt;&gt; 09502310 | MINTEX &gt;&gt; MDC645 | ZIMMERMANN &gt;&gt; 280208800 | DELPHI &gt;&gt; BG2399 | MOPROD &gt;&gt; MBD368 | BRADI &gt;&gt; 1191324 | SEBRO &gt;&gt; 3453 | INTERBRAKE &gt;&gt; HO141V | APEC braking &gt;&gt; DSK190 | UNIPART &gt;&gt; GBD699</t>
  </si>
  <si>
    <t>Fitting Position,  &gt;&gt; Rear Axle | O, mm &gt;&gt; 239 | Height, mm &gt;&gt; 49 | Weight, kg &gt;&gt; 7,22 | Brake Disc Type,  &gt;&gt; Solid | Brake Disc Thickness, mm &gt;&gt; 10 | Num. of holes,  &gt;&gt; 4 | Centering Diameter, mm &gt;&gt; 61</t>
  </si>
  <si>
    <t>HONDA &gt;&gt; 42510SR3A10 | HONDA &gt;&gt; 42510SR3J01 | ACURA &gt;&gt; 42510SR3A10 | ATE &gt;&gt; 24010901111 | ATE &gt;&gt; 409111 | BOSCH &gt;&gt; 0986479101 | JURID &gt;&gt; 562016JC | JURID &gt;&gt; 562016J | BENDIX &gt;&gt; 562016BC | BENDIX &gt;&gt; 562016B | QUINTON HAZELL &gt;&gt; BDC4746 | QUINTON HAZELL &gt;&gt; BDC4746P | FERODO &gt;&gt; DDF13581 | FERODO &gt;&gt; DDF1358 | BREMBO &gt;&gt; 08A92010 | MINTEX &gt;&gt; MDC846 | DELPHI &gt;&gt; BG2538 | TRW &gt;&gt; DF4191 | NECTO &gt;&gt; WN1331 | Brake ENGINEERING &gt;&gt; DI955373 | APEC braking &gt;&gt; DSK257 | APEC braking &gt;&gt; DSK252 | sbs &gt;&gt; 1815202621 | BLUE PRINT &gt;&gt; ADH24327</t>
  </si>
  <si>
    <t>HONDA &gt;&gt; 45251SB2780 | HONDA &gt;&gt; 45251SB2980 | HONDA &gt;&gt; 45251SB2982 | HONDA &gt;&gt; 45251SB2990 | HONDA &gt;&gt; 45251SB2981 | HONDA &gt;&gt; 45251SB2782 | HONDA &gt;&gt; 45251SB2781 | ACURA &gt;&gt; 45251SB2990 | ACURA &gt;&gt; 45251SB2980 | ACURA &gt;&gt; 45251SB2782 | ACURA &gt;&gt; 45251SB2781 | ACURA &gt;&gt; 45251SB2780 | ATE &gt;&gt; 419106 | ATE &gt;&gt; 24011901061 | PAGID &gt;&gt; 51113 | VALEO &gt;&gt; 186431 | BOSCH &gt;&gt; 0986478503 | TEXTAR &gt;&gt; 98200060701 | TEXTAR &gt;&gt; 982000607 | TEXTAR &gt;&gt; 92060700 | JURID &gt;&gt; 561384JC | JURID &gt;&gt; 561384J | BENDIX &gt;&gt; 561384BC | BENDIX &gt;&gt; 561384B | FTE &gt;&gt; BS3591 | HERTH+BUSS JAKOPARTS &gt;&gt; J3304019 | QUINTON HAZELL &gt;&gt; BDC3591P | QUINTON HAZELL &gt;&gt; BDC3591 | FERODO &gt;&gt; DDF377 | FERODO &gt;&gt; DDF3771 | BREMBO &gt;&gt; 09502310 | MINTEX &gt;&gt; MDC645 | ZIMMERMANN &gt;&gt; 280208800 | DELPHI &gt;&gt; BG2399 | DELPHI &gt;&gt; BG399 | METELLI &gt;&gt; 230306 | ROADHOUSE &gt;&gt; 63691 | REMSA &gt;&gt; 620420 | JAPANPARTS &gt;&gt; DI419 | NATIONAL &gt;&gt; NBD170 | LPR &gt;&gt; H1141V | KAVO PARTS &gt;&gt; BR2212 | UNIPART &gt;&gt; GBD699 | GRAF &gt;&gt; DF29306 | TRW &gt;&gt; DF1963 | BRADI &gt;&gt; 1191324 | BRECO &gt;&gt; BS7938 | OBTEC A/S &gt;&gt; 815181808V | HP (ZEBRA) &gt;&gt; 53480 | ASHIKA &gt;&gt; 6004419 | NECTO &gt;&gt; WN664 | MGA &gt;&gt; D1106 | Brake ENGINEERING &gt;&gt; DI952450 | Brake ENGINEERING &gt;&gt; 952450 | APEC braking &gt;&gt; DSK190 | sbs &gt;&gt; 1815202612 | BLUE PRINT &gt;&gt; ADH24316 | FIRST LINE &gt;&gt; FBD048 | MOTAQUIP &gt;&gt; VBD393 | A.B.S. &gt;&gt; 15938</t>
  </si>
  <si>
    <t>Centering Diameter, mm &gt;&gt; 61 | Brake Disc Type,  &gt;&gt; Internally Vented | Weight, kg &gt;&gt; 4,05 | Brake Disc Thickness, mm &gt;&gt; 19 | for Art.No.,  &gt;&gt; 142.916 | Height, mm &gt;&gt; 44,1 | Num. of holes,  &gt;&gt; 4 | O, mm &gt;&gt; 242 | Min. thickness, mm &gt;&gt; 17</t>
  </si>
  <si>
    <t>O, mm &gt;&gt; 242 | Height, mm &gt;&gt; 44 | Brake Disc Type,  &gt;&gt; Internally Vented | Brake Disc Thickness, mm &gt;&gt; 19 | Min. thickness, mm &gt;&gt; 17 | Num. of holes,  &gt;&gt; 4 | Bolt Hole Circle O, mm &gt;&gt; 100 | Hub O, mm &gt;&gt; 136 | Centering Diameter, mm &gt;&gt; 61</t>
  </si>
  <si>
    <t>Fitting Position &gt;&gt; Front Axle Left | Fitting Position &gt;&gt; Front Axle Right</t>
  </si>
  <si>
    <t>HONDA &gt;&gt; 45251SB2781 | HONDA &gt;&gt; 45251SB2990 | HONDA &gt;&gt; 45251SB2780 | HONDA &gt;&gt; 45251SB2782 | HONDA &gt;&gt; 45251SB2980 | HONDA &gt;&gt; 45251SB2982 | ATE &gt;&gt; 24011901061 | PAGID &gt;&gt; 51113 | VALEO &gt;&gt; 186431 | BOSCH &gt;&gt; 0986478503 | BENDIX &gt;&gt; 561385B | BENDIX &gt;&gt; 561384B | HERTH+BUSS JAKOPARTS &gt;&gt; J3304019 | QUINTON HAZELL &gt;&gt; BDC3591 | FERODO &gt;&gt; DDF377 | BREMBO &gt;&gt; RS8642 | BREMBO &gt;&gt; 09502310 | MINTEX &gt;&gt; MDC645 | DELPHI &gt;&gt; BG2399 | JAPANPARTS &gt;&gt; DI419 | ASHIKA &gt;&gt; 6004419 | Brake ENGINEERING &gt;&gt; DI952450 | sbs &gt;&gt; 1815202612 | BLUE PRINT &gt;&gt; ADH24316 | NPS &gt;&gt; H330A19 | JAPKO &gt;&gt; 60419 | A.B.S. &gt;&gt; 15938</t>
  </si>
  <si>
    <t>FENOX</t>
  </si>
  <si>
    <t>Fitting Position,  &gt;&gt; Rear Axle | Brake Disc Type,  &gt;&gt; Solid | Brake Disc Thickness, mm &gt;&gt; 10 | O, mm &gt;&gt; 239 | Min. thickness, mm &gt;&gt; 8 | Height, mm &gt;&gt; 48,2 | Centering Diameter, mm &gt;&gt; 61 | No. of holes 1,  &gt;&gt; 4 | No. of holes 2,  &gt;&gt; 4</t>
  </si>
  <si>
    <t>HONDA &gt;&gt; 42510SE0000 | HONDA &gt;&gt; 42510SK3E00 | HONDA &gt;&gt; 42510SE0010 | HONDA &gt;&gt; 42510SH3G00 | ATE &gt;&gt; 24011002121 | BREMBO &gt;&gt; 08710410 | A.B.S. &gt;&gt; 15983 | PILENGA &gt;&gt; 5304</t>
  </si>
  <si>
    <t>Fitting Position,  &gt;&gt; Front Axle | Brake Disc Type,  &gt;&gt; Vented | Brake Disc Thickness, mm &gt;&gt; 19 | O, mm &gt;&gt; 242 | Min. thickness, mm &gt;&gt; 17 | Height, mm &gt;&gt; 44,1 | Centering Diameter, mm &gt;&gt; 61 | No. of holes 1,  &gt;&gt; 4 | No. of holes 2,  &gt;&gt; 4</t>
  </si>
  <si>
    <t>HONDA &gt;&gt; 45251SB2780 | HONDA &gt;&gt; 45251SB2781 | HONDA &gt;&gt; 45251SB2782 | HONDA &gt;&gt; 45251SB278012 | ATE &gt;&gt; 24011901061 | BREMBO &gt;&gt; 09502310 | ZIMMERMANN &gt;&gt; 280208800 | PILENGA &gt;&gt; V305</t>
  </si>
  <si>
    <t>Fitting Position,  &gt;&gt; Front Axle | Brake Disc Type,  &gt;&gt; Vented | Brake Disc Thickness, mm &gt;&gt; 21 | O, mm &gt;&gt; 262 | Min. thickness, mm &gt;&gt; 19 | Height, mm &gt;&gt; 44,6 | Centering Diameter, mm &gt;&gt; 64,1 | No. of holes 1,  &gt;&gt; 4 | No. of holes 2,  &gt;&gt; 4</t>
  </si>
  <si>
    <t>HONDA &gt;&gt; 45251ST3E10 | HONDA &gt;&gt; 45251SK7J00 | HONDA &gt;&gt; 45251SK7A10 | HONDA &gt;&gt; 45251SK7A00 | ROVER &gt;&gt; GBD90840 | ATE &gt;&gt; 24012101051 | BREMBO &gt;&gt; 09550914 | FEBI BILSTEIN &gt;&gt; 10911 | PILENGA &gt;&gt; V311</t>
  </si>
  <si>
    <t>GIRLING</t>
  </si>
  <si>
    <t>HONDA &gt;&gt; 45251SB2990 | HONDA &gt;&gt; 45251SB2780 | HONDA &gt;&gt; 45251SB2781 | HONDA &gt;&gt; 45251SB2782HS | HONDA &gt;&gt; 45251SB2980 | HONDA &gt;&gt; 45251SB2782 | ACURA &gt;&gt; 45251SB2990 | HELLA &gt;&gt; 8DD355103101 | ATE &gt;&gt; 419106 | ATE &gt;&gt; 24011901061 | PAGID &gt;&gt; 51113 | VALEO &gt;&gt; 186431 | BOSCH &gt;&gt; 0986AB5221 | BOSCH &gt;&gt; 986478503 | BOSCH &gt;&gt; 0986AB9535 | BOSCH &gt;&gt; F026A00821 | BOSCH &gt;&gt; 0986478503 | BOSCH &gt;&gt; 0986AB6320 | LEMFORDER &gt;&gt; 2246801 | TEXTAR &gt;&gt; 92060700 | TEXTAR &gt;&gt; 98200060701 | JURID &gt;&gt; 561385J | JURID &gt;&gt; 561384J | JURID &gt;&gt; 561384JC | BENDIX &gt;&gt; 338776 | BENDIX &gt;&gt; 561385B | BENDIX &gt;&gt; 561384B | BENDIX &gt;&gt; 561384BC | FTE &gt;&gt; BS3591 | HERTH+BUSS JAKOPARTS &gt;&gt; J3304019 | QUINTON HAZELL &gt;&gt; BSF3591 | QUINTON HAZELL &gt;&gt; BDC3591 | QUINTON HAZELL &gt;&gt; 636910 | FERODO &gt;&gt; DDF377 | FERODO &gt;&gt; DDF3771 | BREMBO &gt;&gt; 09502310 | MINTEX &gt;&gt; MDC645 | PEX &gt;&gt; 140221 | ZIMMERMANN &gt;&gt; 280208852 | ZIMMERMANN &gt;&gt; 280208850 | ZIMMERMANN &gt;&gt; 280208800 | ZIMMERMANN &gt;&gt; 2802088 | DELPHI &gt;&gt; BS3591 | DELPHI &gt;&gt; BG2399 | DELPHI &gt;&gt; BG399 | METZGER &gt;&gt; 636910 | MAGNETI MARELLI &gt;&gt; 353611913240 | ROULUNDS RUBBER &gt;&gt; D2195 | TRISCAN &gt;&gt; 812040103 | METELLI &gt;&gt; 230306 | NK &gt;&gt; 202612 | NK &gt;&gt; 312612 | MAPCO &gt;&gt; 15610 | MEYLE &gt;&gt; 31155210011PD | ROADHOUSE &gt;&gt; 636910 | REMSA &gt;&gt; 636910 | JAPANPARTS &gt;&gt; DI419 | QH Benelux &gt;&gt; 53480 | NATIONAL &gt;&gt; NBD170 | A.B.S. &gt;&gt; 15938 | LPR &gt;&gt; H1141V | GRAF &gt;&gt; DF29306 | TRW &gt;&gt; DF1963 | BRADI &gt;&gt; 1191324 | OBTEC A/S &gt;&gt; 181808V | SEBRO &gt;&gt; 3453 | FAG &gt;&gt; BS3591 | ACDelco &gt;&gt; AC2195D | DBA &gt;&gt; DBA187 | CAR &gt;&gt; HPD916 | CAR &gt;&gt; 142916 | NIPPARTS &gt;&gt; J3304019 | MGA &gt;&gt; D1106 | Brake ENGINEERING &gt;&gt; DI952450 | APEC braking &gt;&gt; DSK190 | ABEX &gt;&gt; W0664 | PILENGA &gt;&gt; V305 | WOKING &gt;&gt; P636910 | BLUE PRINT &gt;&gt; ADH24316 | FIRST LINE &gt;&gt; FBD048</t>
  </si>
  <si>
    <t>HONDA &gt;&gt; 42510SELT50 | HONDA &gt;&gt; 42510SR3000 | HONDA &gt;&gt; 42510SR3A11 | HONDA &gt;&gt; 42510SR3J00HS | HONDA &gt;&gt; 42510SS1000 | HONDA &gt;&gt; 42510SR3J01 | HONDA &gt;&gt; 42510SR3G00 | HONDA &gt;&gt; 42510SR3J00 | HONDA &gt;&gt; 42510SR3A10 | ACURA &gt;&gt; 42510SR3A11 | ACURA &gt;&gt; 42510SELT50 | ACURA &gt;&gt; 42510SR3A10 | HELLA &gt;&gt; 8DD355104951 | ATE &gt;&gt; 24010901111 | ATE &gt;&gt; 409111 | PAGID &gt;&gt; 51122 | VALEO &gt;&gt; 186435 | VALEO &gt;&gt; 186432 | RUVILLE &gt;&gt; BRR510210 | BOSCH &gt;&gt; 0986479101 | BOSCH &gt;&gt; 0986AB9842 | BOSCH &gt;&gt; F026A00896 | BOSCH &gt;&gt; 0986AB9725 | BOSCH &gt;&gt; 0986479942 | BOSCH &gt;&gt; 986478350 | LEMFORDER &gt;&gt; 1490602 | TEXTAR &gt;&gt; 92077900 | TEXTAR &gt;&gt; 98200077901 | JURID &gt;&gt; 562016J | JURID &gt;&gt; 562016JC | JURID &gt;&gt; 561383J | JURID &gt;&gt; 561383JC | BENDIX &gt;&gt; 562016B | BENDIX &gt;&gt; 562016BC | BENDIX &gt;&gt; 561383B | BENDIX &gt;&gt; 561383BC | FTE &gt;&gt; BS4369 | FTE &gt;&gt; BS4746 | HERTH+BUSS JAKOPARTS &gt;&gt; J3314019 | HERTH+BUSS JAKOPARTS &gt;&gt; J3314009 | HERTH+BUSS JAKOPARTS &gt;&gt; J3314003 | QUINTON HAZELL &gt;&gt; BSF4369 | QUINTON HAZELL &gt;&gt; BSF4746 | QUINTON HAZELL &gt;&gt; BDC4369 | QUINTON HAZELL &gt;&gt; BDC4746 | QUINTON HAZELL &gt;&gt; BDC3649 | FERODO &gt;&gt; DDF9501 | FERODO &gt;&gt; DDF13581 | FERODO &gt;&gt; DDF950 | FERODO &gt;&gt; DDF1358 | BREMBO &gt;&gt; 08A92010 | BREMBO &gt;&gt; 08571910 | MINTEX &gt;&gt; MDK0073 | MINTEX &gt;&gt; MDC644 | MINTEX &gt;&gt; MDC846 | PEX &gt;&gt; 140223 | PEX &gt;&gt; 140222 | ZIMMERMANN &gt;&gt; 280318020 | ZIMMERMANN &gt;&gt; 280317000 | DELPHI &gt;&gt; BG2538 | METZGER &gt;&gt; 652100 | METZGER &gt;&gt; 14683E | MAGNETI MARELLI &gt;&gt; 353611915550 | MAGNETI MARELLI &gt;&gt; 353611915540 | ROULUNDS RUBBER &gt;&gt; D2196 | TRISCAN &gt;&gt; 812040117 | TRISCAN &gt;&gt; 812040146 | METELLI &gt;&gt; 231049C | METELLI &gt;&gt; 230267 | NK &gt;&gt; 312621 | NK &gt;&gt; 202621 | MAPCO &gt;&gt; 15604 | MAPCO &gt;&gt; 15608 | MEYLE &gt;&gt; 31155230006PD | MEYLE &gt;&gt; 31155230006 | ROADHOUSE &gt;&gt; 652100 | REMSA &gt;&gt; 652100 | JAPANPARTS &gt;&gt; DP409 | JAPANPARTS &gt;&gt; DP402 | QH Benelux &gt;&gt; 57696 | NATIONAL &gt;&gt; NBD704 | NATIONAL &gt;&gt; NBD377 | A.B.S. &gt;&gt; 17471 | A.B.S. &gt;&gt; 16192 | A.B.S. &gt;&gt; 15983 | LPR &gt;&gt; H1471P | LPR &gt;&gt; H1171P | TRW &gt;&gt; DF4191 | BRADI &gt;&gt; 1191555 | OBTEC A/S &gt;&gt; 181817 | OBTEC A/S &gt;&gt; 121212 | ACDelco &gt;&gt; AC2196D | DBA &gt;&gt; DBA475 | CAR &gt;&gt; 142853 | CAR &gt;&gt; HPD853 | CAR &gt;&gt; 1421621 | NIPPARTS &gt;&gt; J3314019 | NIPPARTS &gt;&gt; J3314003 | MGA &gt;&gt; D1325 | Brake ENGINEERING &gt;&gt; DI955373 | APEC braking &gt;&gt; DSK252 | WOKING &gt;&gt; P652100 | WOKING &gt;&gt; P608300 | BLUE PRINT &gt;&gt; ADH24350 | BLUE PRINT &gt;&gt; ADH24327 | FIRST LINE &gt;&gt; FBD1043</t>
  </si>
  <si>
    <t>AP</t>
  </si>
  <si>
    <t>for Art.No.,  &gt;&gt; 24202 | Brake Disc Type,  &gt;&gt; Internally Vented | O, mm &gt;&gt; 242 | Brake Disc Thickness, mm &gt;&gt; 19 | Min. thickness, mm &gt;&gt; 17 | Height, mm &gt;&gt; 44 | Centering Diameter, mm &gt;&gt; 61 | Num. of holes,  &gt;&gt; 4 | Tightening Torque, Nm &gt;&gt; 108 |  &gt;&gt; with screws</t>
  </si>
  <si>
    <t>HONDA &gt;&gt; 45251SB2782 | HONDA &gt;&gt; 45251SB2780 | HONDA &gt;&gt; 45251SB2781 | HONDA &gt;&gt; 45251SB2980 | HONDA &gt;&gt; 45251SB2990 | ACURA &gt;&gt; 45251SB2781 | ACURA &gt;&gt; 45251SB2780 | ACURA &gt;&gt; 45251SB2990 | ACURA &gt;&gt; 45251SB2782 | ACURA &gt;&gt; 45251SB2980 | ATE &gt;&gt; 24011901061 | VALEO &gt;&gt; 186431 | BOSCH &gt;&gt; 0986AB6320 | BOSCH &gt;&gt; 0986478503 | BOSCH &gt;&gt; 0986AB9535 | TEXTAR &gt;&gt; 92060700 | JURID &gt;&gt; 561384J | BENDIX &gt;&gt; 561384B | FERODO &gt;&gt; DDF377 | BREMBO &gt;&gt; 09502310 | ZIMMERMANN &gt;&gt; 280208800 | METELLI &gt;&gt; 230306 | TRW &gt;&gt; DF1963 | BRECO &gt;&gt; BS7938 | Brake ENGINEERING &gt;&gt; DI952450 | sbs &gt;&gt; 1815202612 | sbs &gt;&gt; 1815202605 | sbs &gt;&gt; 15938</t>
  </si>
  <si>
    <t>BRECO</t>
  </si>
  <si>
    <t>for Art.No.,  &gt;&gt; BS 7938 | Brake Disc Type,  &gt;&gt; Internally Vented | O, mm &gt;&gt; 242 | Brake Disc Thickness, mm &gt;&gt; 19 | Min. thickness, mm &gt;&gt; 17 | Height, mm &gt;&gt; 44 | Centering Diameter, mm &gt;&gt; 61 | Num. of holes,  &gt;&gt; 4 | Tightening Torque, Nm &gt;&gt; 108 |  &gt;&gt; with screws</t>
  </si>
  <si>
    <t>HONDA &gt;&gt; 45251SB2782 | HONDA &gt;&gt; 45251SB2780 | HONDA &gt;&gt; 45251SB2781 | HONDA &gt;&gt; 45251SB2980 | HONDA &gt;&gt; 45251SB2990 | ACURA &gt;&gt; 45251SB2780 | ACURA &gt;&gt; 45251SB2990 | ACURA &gt;&gt; 45251SB2980 | ACURA &gt;&gt; 45251SB2781 | ACURA &gt;&gt; 45251SB2782 | ATE &gt;&gt; 24011901061 | VALEO &gt;&gt; 186431 | BOSCH &gt;&gt; 0986AB6320 | BOSCH &gt;&gt; 0986478503 | BOSCH &gt;&gt; 0986AB9535 | TEXTAR &gt;&gt; 92060700 | JURID &gt;&gt; 561384J | BENDIX &gt;&gt; 561384B | FERODO &gt;&gt; DDF377 | BREMBO &gt;&gt; 09502310 | ZIMMERMANN &gt;&gt; 280208800 | METELLI &gt;&gt; 230306 | TRW &gt;&gt; DF1963 | Brake ENGINEERING &gt;&gt; DI952450 | AP &gt;&gt; 24202 | sbs &gt;&gt; 1815202612 | sbs &gt;&gt; 1815202605 | sbs &gt;&gt; 15938</t>
  </si>
  <si>
    <t>WOKING</t>
  </si>
  <si>
    <t>HONDA &gt;&gt; 45251SB2781 | HONDA &gt;&gt; 45251SB2980 | HONDA &gt;&gt; 45251SB2780 | HONDA &gt;&gt; 45251SB2990 | HONDA &gt;&gt; 45251SB2782 | VW &gt;&gt; 230306 | ACURA &gt;&gt; 45251SB2782 | ACURA &gt;&gt; 45251SB2781 | ACURA &gt;&gt; 45251SB2780 | ATE &gt;&gt; 419106 | ATE &gt;&gt; 24011901061 | PAGID &gt;&gt; 51113 | BOSCH &gt;&gt; 0986478503 | TEXTAR &gt;&gt; 98200060701 | JURID &gt;&gt; 561384J | JURID &gt;&gt; 561385J | BENDIX &gt;&gt; 561384B | BENDIX &gt;&gt; 338776 | FERODO &gt;&gt; DDF377 | BREMBO &gt;&gt; 09502310 | ZIMMERMANN &gt;&gt; 280208850 | ZIMMERMANN &gt;&gt; 280208800 | ZIMMERMANN &gt;&gt; 2802088 | DELPHI &gt;&gt; BG399 | DELPHI &gt;&gt; BG2399 | METELLI &gt;&gt; 230306 | ROADHOUSE &gt;&gt; 636910 | REMSA &gt;&gt; 636910 | JAPANPARTS &gt;&gt; DI419 | TRW &gt;&gt; DF1963 | BRADI &gt;&gt; 1191324 | FAG &gt;&gt; BS3591 | MGA &gt;&gt; D1106 | AP &gt;&gt; 24202</t>
  </si>
  <si>
    <t>Brake ENGINEERING</t>
  </si>
  <si>
    <t>Brake Disc Type,  &gt;&gt; Vented | O, mm &gt;&gt; 242 | Brake Disc Thickness, mm &gt;&gt; 19 | Min. thickness, mm &gt;&gt; 17 | Centering Diameter, mm &gt;&gt; 61 | Height, mm &gt;&gt; 44 | Num. of holes,  &gt;&gt; 4 | Thread Size,  &gt;&gt; 12,6 | Bolt Hole Circle O, mm &gt;&gt; 100</t>
  </si>
  <si>
    <t>HONDA &gt;&gt; 45251SB2990 | HONDA &gt;&gt; 45251SB2780 | HONDA &gt;&gt; 45251SB2781 | HONDA &gt;&gt; 45251SB2782HS | HONDA &gt;&gt; 45251SB2980 | HONDA &gt;&gt; 45251SB2782 | ACURA &gt;&gt; 45251SB2990 | HELLA &gt;&gt; 8DD355103101 | ATE &gt;&gt; 419106 | ATE &gt;&gt; 24011901061 | PAGID &gt;&gt; 51113 | VALEO &gt;&gt; 186431 | BOSCH &gt;&gt; 986478503 | BOSCH &gt;&gt; 0986AB5221 | BOSCH &gt;&gt; 0986AB9535 | BOSCH &gt;&gt; F026A00821 | BOSCH &gt;&gt; 0986478503 | BOSCH &gt;&gt; 0986AB6320 | LEMFORDER &gt;&gt; 2246801 | TEXTAR &gt;&gt; 98200060701 | TEXTAR &gt;&gt; 92060700 | JURID &gt;&gt; 561385J | JURID &gt;&gt; 561384J | JURID &gt;&gt; 561384JC | BENDIX &gt;&gt; 338776 | BENDIX &gt;&gt; 561385B | BENDIX &gt;&gt; 561384B | BENDIX &gt;&gt; 561384BC | FTE &gt;&gt; BS3591 | HERTH+BUSS JAKOPARTS &gt;&gt; J3304019 | QUINTON HAZELL &gt;&gt; BSF3591 | QUINTON HAZELL &gt;&gt; BDC3591 | QUINTON HAZELL &gt;&gt; 636910 | FERODO &gt;&gt; DDF3771 | FERODO &gt;&gt; DDF377 | BREMBO &gt;&gt; 09502310 | MINTEX &gt;&gt; MDC645 | PEX &gt;&gt; 140221 | ZIMMERMANN &gt;&gt; 280208852 | ZIMMERMANN &gt;&gt; 280208850 | ZIMMERMANN &gt;&gt; 280208800 | ZIMMERMANN &gt;&gt; 2802088 | DELPHI &gt;&gt; BS3591 | DELPHI &gt;&gt; BG399 | DELPHI &gt;&gt; BG2399 | METZGER &gt;&gt; 636910 | MAGNETI MARELLI &gt;&gt; 353611913240 | ROULUNDS RUBBER &gt;&gt; D2195 | TRISCAN &gt;&gt; 812040103 | METELLI &gt;&gt; 230306 | NK &gt;&gt; 202612 | NK &gt;&gt; 312612 | MAPCO &gt;&gt; 15610 | MEYLE &gt;&gt; 31155210011PD | ROADHOUSE &gt;&gt; 636910 | REMSA &gt;&gt; 636910 | JAPANPARTS &gt;&gt; DI419 | QH Benelux &gt;&gt; 53480 | NATIONAL &gt;&gt; NBD170 | A.B.S. &gt;&gt; 15938 | LPR &gt;&gt; H1141V | GRAF &gt;&gt; DF29306 | TRW &gt;&gt; DF1963 | BRADI &gt;&gt; 1191324 | OBTEC A/S &gt;&gt; 181808V | SEBRO &gt;&gt; 3453 | FAG &gt;&gt; BS3591 | ACDelco &gt;&gt; AC2195D | DBA &gt;&gt; DBA187 | CAR &gt;&gt; HPD916 | CAR &gt;&gt; 142916 | NIPPARTS &gt;&gt; J3304019 | MGA &gt;&gt; D1106 | APEC braking &gt;&gt; DSK190 | ABEX &gt;&gt; W0664 | GIRLING &gt;&gt; 6019631 | PILENGA &gt;&gt; V305 | WOKING &gt;&gt; P636910 | BLUE PRINT &gt;&gt; ADH24316 | FIRST LINE &gt;&gt; FBD048</t>
  </si>
  <si>
    <t>Brake Disc Type,  &gt;&gt; Solid | O, mm &gt;&gt; 239 | Brake Disc Thickness, mm &gt;&gt; 10 | Min. thickness, mm &gt;&gt; 9 | Centering Diameter, mm &gt;&gt; 48 | Height, mm &gt;&gt; 34 | Num. of holes,  &gt;&gt; 4</t>
  </si>
  <si>
    <t>HONDA &gt;&gt; 42510SD2A00 | FERODO &gt;&gt; DDF255 | DELPHI &gt;&gt; BG667 | TRW &gt;&gt; DF4004 | BLUE PRINT &gt;&gt; ADH24319</t>
  </si>
  <si>
    <t>Brake Disc Type,  &gt;&gt; Solid | O, mm &gt;&gt; 239 | Brake Disc Thickness, mm &gt;&gt; 9 | Min. thickness, mm &gt;&gt; 8 | Centering Diameter, mm &gt;&gt; 61 | Height, mm &gt;&gt; 47,6 | Num. of holes,  &gt;&gt; 4 | Thread Size,  &gt;&gt; 12,7 | Bolt Hole Circle O, mm &gt;&gt; 100</t>
  </si>
  <si>
    <t>HONDA &gt;&gt; 42510SR3J00 | HONDA &gt;&gt; 42510SR3J00HS | HONDA &gt;&gt; 42510SR3J01 | HONDA &gt;&gt; 42510SS1000 | HONDA &gt;&gt; 42510SR3A11 | HONDA &gt;&gt; 42510SR3G00 | HONDA &gt;&gt; 42510SELT50 | HONDA &gt;&gt; 42510SR3000 | HONDA &gt;&gt; 42510SR3A10 | ACURA &gt;&gt; 42510SR3A11 | ACURA &gt;&gt; 42510SR3A10 | ACURA &gt;&gt; 42510SELT50 | HELLA &gt;&gt; 8DD355104951 | ATE &gt;&gt; 24010901111 | ATE &gt;&gt; 409111 | PAGID &gt;&gt; 51122 | VALEO &gt;&gt; 186435 | VALEO &gt;&gt; 186432 | RUVILLE &gt;&gt; BRR510210 | BOSCH &gt;&gt; F026A00896 | BOSCH &gt;&gt; 0986AB9842 | BOSCH &gt;&gt; 0986AB9725 | BOSCH &gt;&gt; 0986479942 | BOSCH &gt;&gt; 0986479101 | BOSCH &gt;&gt; 986478350 | LEMFORDER &gt;&gt; 1490602 | TEXTAR &gt;&gt; 98200077901 | TEXTAR &gt;&gt; 92077900 | JURID &gt;&gt; 562016JC | JURID &gt;&gt; 561383JC | JURID &gt;&gt; 562016J | JURID &gt;&gt; 561383J | BENDIX &gt;&gt; 562016BC | BENDIX &gt;&gt; 562016B | BENDIX &gt;&gt; 561383BC | BENDIX &gt;&gt; 561383B | FTE &gt;&gt; BS4369 | FTE &gt;&gt; BS4746 | HERTH+BUSS JAKOPARTS &gt;&gt; J3314019 | HERTH+BUSS JAKOPARTS &gt;&gt; J3314009 | HERTH+BUSS JAKOPARTS &gt;&gt; J3314003 | QUINTON HAZELL &gt;&gt; BSF4746 | QUINTON HAZELL &gt;&gt; BSF4369 | QUINTON HAZELL &gt;&gt; BDC4369 | QUINTON HAZELL &gt;&gt; BDC4746 | QUINTON HAZELL &gt;&gt; BDC3649 | FERODO &gt;&gt; DDF9501 | FERODO &gt;&gt; DDF950 | FERODO &gt;&gt; DDF13581 | FERODO &gt;&gt; DDF1358 | BREMBO &gt;&gt; 08A92010 | BREMBO &gt;&gt; 08571910 | MINTEX &gt;&gt; MDK0073 | MINTEX &gt;&gt; MDC846 | MINTEX &gt;&gt; MDC644 | PEX &gt;&gt; 140223 | PEX &gt;&gt; 140222 | ZIMMERMANN &gt;&gt; 280317000 | ZIMMERMANN &gt;&gt; 280318020 | DELPHI &gt;&gt; BG2538 | METZGER &gt;&gt; 652100 | METZGER &gt;&gt; 14683E | MAGNETI MARELLI &gt;&gt; 353611915550 | MAGNETI MARELLI &gt;&gt; 353611915540 | ROULUNDS RUBBER &gt;&gt; D2196 | TRISCAN &gt;&gt; 812040146 | TRISCAN &gt;&gt; 812040117 | METELLI &gt;&gt; 231049C | METELLI &gt;&gt; 230267 | NK &gt;&gt; 202621 | NK &gt;&gt; 312621 | MAPCO &gt;&gt; 15608 | MAPCO &gt;&gt; 15604 | MEYLE &gt;&gt; 31155230006PD | MEYLE &gt;&gt; 31155230006 | ROADHOUSE &gt;&gt; 652100 | REMSA &gt;&gt; 652100 | JAPANPARTS &gt;&gt; DP409 | JAPANPARTS &gt;&gt; DP402 | QH Benelux &gt;&gt; 57696 | NATIONAL &gt;&gt; NBD704 | NATIONAL &gt;&gt; NBD377 | A.B.S. &gt;&gt; 17471 | A.B.S. &gt;&gt; 16192 | A.B.S. &gt;&gt; 15983 | LPR &gt;&gt; H1471P | LPR &gt;&gt; H1171P | TRW &gt;&gt; DF4191 | BRADI &gt;&gt; 1191555 | OBTEC A/S &gt;&gt; 121212 | OBTEC A/S &gt;&gt; 181817 | ACDelco &gt;&gt; AC2196D | DBA &gt;&gt; DBA475 | CAR &gt;&gt; HPD853 | CAR &gt;&gt; 142853 | CAR &gt;&gt; 1421621 | NIPPARTS &gt;&gt; J3314019 | NIPPARTS &gt;&gt; J3314003 | MGA &gt;&gt; D1325 | APEC braking &gt;&gt; DSK252 | GIRLING &gt;&gt; 6041914 | WOKING &gt;&gt; P652100 | WOKING &gt;&gt; P608300 | BLUE PRINT &gt;&gt; ADH24350 | BLUE PRINT &gt;&gt; ADH24327 | FIRST LINE &gt;&gt; FBD1043</t>
  </si>
  <si>
    <t>COMLINE</t>
  </si>
  <si>
    <t>Fitting Position,  &gt;&gt; Rear Axle | Height, mm &gt;&gt; 48 | Brake Disc Type,  &gt;&gt; Solid | Brake Disc Thickness, mm &gt;&gt; 9 | Min. thickness, mm &gt;&gt; 8 | Number of bores,  &gt;&gt; 4 | Outer Diameter, mm &gt;&gt; 239 | Num. of holes,  &gt;&gt; 4 | Centering Diameter, mm &gt;&gt; 61 | Bolt Hole Circle O, mm &gt;&gt; 100</t>
  </si>
  <si>
    <t>from construction year &gt;&gt; 11/1989</t>
  </si>
  <si>
    <t>HONDA &gt;&gt; 42510SR3000 | HONDA &gt;&gt; 42510SR3A10 | HONDA &gt;&gt; 42510SR3J01 | HONDA &gt;&gt; 42510SR3A11 | HONDA &gt;&gt; 42510SR3G00 | HONDA &gt;&gt; 42510SR3J00 | ATE &gt;&gt; 24010901111 | PAGID &gt;&gt; 51122 | BOSCH &gt;&gt; 0986479101 | BOSCH &gt;&gt; 0986479942 | TEXTAR &gt;&gt; 92077900 | JURID &gt;&gt; 561383J | BENDIX &gt;&gt; 561383B | FTE &gt;&gt; BS4746 | HERTH+BUSS JAKOPARTS &gt;&gt; J3314019 | QUINTON HAZELL &gt;&gt; BDC4746 | QUINTON HAZELL &gt;&gt; HP53481 | FERODO &gt;&gt; DDF950 | BREMBO &gt;&gt; 08571910 | MINTEX &gt;&gt; MDC846 | PEX &gt;&gt; 140223 | BORG &amp; BECK &gt;&gt; BBD4093 | ZIMMERMANN &gt;&gt; 280317000 | ZIMMERMANN &gt;&gt; 280318020 | DELPHI &gt;&gt; BG2538 | FARCOM &gt;&gt; 230113 | METZGER &gt;&gt; 652100 | METZGER &gt;&gt; 6521 | TRISCAN &gt;&gt; 812040117 | METELLI &gt;&gt; 231049C | NK &gt;&gt; 202613 | OPTIMAL &gt;&gt; BS5210 | MAPCO &gt;&gt; 15608 | MEYLE &gt;&gt; 31155230006 | ROADHOUSE &gt;&gt; 652100 | ROADHOUSE &gt;&gt; 6521 | REMSA &gt;&gt; 652100 | REMSA &gt;&gt; 6521 | JAPANPARTS &gt;&gt; DP409 | ICER &gt;&gt; 78BD1703 | VAICO &gt;&gt; V2640003 | QH Benelux &gt;&gt; HP53481 | NATIONAL &gt;&gt; NBD704 | A.B.S. &gt;&gt; 16192 | LPR &gt;&gt; H1471P | TRUSTING &gt;&gt; DF113 | TRUSTING &gt;&gt; DF051 | KAVO PARTS &gt;&gt; BR2211 | TRW &gt;&gt; DF2657 | BRECO &gt;&gt; BS7477 | ACDelco &gt;&gt; AC2884D | ASHIKA &gt;&gt; 6104409 | CAR &gt;&gt; 142853 | NIPPARTS &gt;&gt; J3314003 | Brake ENGINEERING &gt;&gt; DI955373 | APEC braking &gt;&gt; DSK252 | GIRLING &gt;&gt; 6026574 | AP &gt;&gt; 14472 | KAWE &gt;&gt; 608300 | PILENGA &gt;&gt; 5310 | fri.tech. &gt;&gt; DF113 | sbs &gt;&gt; 202621 | sbs &gt;&gt; 1815202621 | sbs &gt;&gt; 312621 | sbs &gt;&gt; 1815202613 | E.T.F. &gt;&gt; 191703 | CIFAM &gt;&gt; 8001049C | WOKING &gt;&gt; D652100 | VILLAR &gt;&gt; 6281484 | SIMER &gt;&gt; D1146 | ST-TEMPLIN &gt;&gt; 011342121102 | BLUE PRINT &gt;&gt; ADH24350 | BLUE PRINT &gt;&gt; ADH24327 | SOLID AUTO (UK) &gt;&gt; H106016S | FIRST LINE &gt;&gt; FBD1043 | FREMAX &gt;&gt; BD1703 | STOP &gt;&gt; 561383S | ASHUKI &gt;&gt; H03901 | IPS Parts &gt;&gt; IBP1409 | VEMA &gt;&gt; 98290 | JAPKO &gt;&gt; 61409 | ABE &gt;&gt; C44009ABE | KAISHIN &gt;&gt; CBR281 | KEY PARTS &gt;&gt; KBD4093</t>
  </si>
  <si>
    <t>O, mm &gt;&gt; 242 | Brake Disc Thickness, mm &gt;&gt; 19 | Thickness/Strength, mm &gt;&gt; 44 | Height, mm &gt;&gt; 44 | Outer Diameter, mm &gt;&gt; 242 | Brake Disc Type,  &gt;&gt; Vented | Fitting Position,  &gt;&gt; Front Axle | Min. thickness, mm &gt;&gt; 17 | Num. of holes,  &gt;&gt; 4 | Bolt Hole Circle O, mm &gt;&gt; 100 | Hub O, mm &gt;&gt; 61 | Weight, kg &gt;&gt; 4,272 | Quantity required,  &gt;&gt; 1 | Centering Diameter, mm &gt;&gt; 61</t>
  </si>
  <si>
    <t>Fitting Position &gt;&gt; Front Axle Right | Fitting Position &gt;&gt; Front Axle Left</t>
  </si>
  <si>
    <t>HONDA &gt;&gt; 92060700TEXTAR | HONDA &gt;&gt; 09502310BREMBO | HONDA &gt;&gt; 15938ABS | HONDA &gt;&gt; 0986478503BOSCH | HONDA &gt;&gt; 6004419ASHIKA | HONDA &gt;&gt; J3304019HBJAKOPA | HONDA &gt;&gt; DI419JAPANPARTS | HONDA &gt;&gt; 45251SB2780 | HONDA &gt;&gt; 45251SB2982 | HONDA &gt;&gt; DDF377FERODOBERAL | HONDA &gt;&gt; DF1963TRW | HONDA &gt;&gt; 45251SB2990 | HONDA &gt;&gt; 186431VALEO | HONDA &gt;&gt; 45251SB2780980 | HONDA &gt;&gt; 45251SB2782 | HONDA &gt;&gt; 45251SB2980 | HONDA &gt;&gt; BR2212KBP | HONDA &gt;&gt; 45251SB2781 | HONDA &gt;&gt; BG2399DELPHI | HELLA &gt;&gt; 8DD355103101 | ATE &gt;&gt; 24011901061 | PAGID &gt;&gt; 51113 | VALEO &gt;&gt; 186431 | BOSCH &gt;&gt; F026A00821 | BOSCH &gt;&gt; 0986478503 | LEMFORDER &gt;&gt; 2246801 | LEMFORDER &gt;&gt; 22468 | TEXTAR &gt;&gt; 92060700 | JURID &gt;&gt; 561385J | JURID &gt;&gt; 561384JC | JURID &gt;&gt; 561384J | BENDIX &gt;&gt; 561385B | BENDIX &gt;&gt; 561384BC | BENDIX &gt;&gt; 561384B | FTE &gt;&gt; BS3591 | HERTH+BUSS JAKOPARTS &gt;&gt; J3304019 | QUINTON HAZELL &gt;&gt; BSF3591 | QUINTON HAZELL &gt;&gt; BDC3591 | FERODO &gt;&gt; DDF3771 | FERODO &gt;&gt; DDF377 | BREMBO &gt;&gt; RS8642 | BREMBO &gt;&gt; 09502310 | MINTEX &gt;&gt; MDC645 | PEX &gt;&gt; 140221 | BORG &amp; BECK &gt;&gt; BBD4035 | ZIMMERMANN &gt;&gt; 280208850 | ZIMMERMANN &gt;&gt; 280208800 | DELPHI &gt;&gt; BG2399 | FARCOM &gt;&gt; 230111 | METZGER &gt;&gt; 636910 | ROULUNDS RUBBER &gt;&gt; D2195 | TRISCAN &gt;&gt; 812040103 | METELLI &gt;&gt; 230306 | NK &gt;&gt; 202612 | NK &gt;&gt; 312612 | OPTIMAL &gt;&gt; BS3690 | MAPCO &gt;&gt; 15610 | MEYLE &gt;&gt; 31155210011PD | KBP &gt;&gt; BR2212 | ROADHOUSE &gt;&gt; 636910 | REMSA &gt;&gt; 636910 | JAPANPARTS &gt;&gt; DI419 | QH Benelux &gt;&gt; HP53480 | QH Benelux &gt;&gt; 53480 | DENCKERMANN &gt;&gt; B130096 | NATIONAL &gt;&gt; NBD170 | A.B.S. &gt;&gt; 15938 | LPR &gt;&gt; H1141V | TRUSTING &gt;&gt; DF236 | KAVO PARTS &gt;&gt; BR2212 | TRUCKTEC AUTOMOTIVE &gt;&gt; 1035008 | GRAF &gt;&gt; DF29306 | KWP &gt;&gt; 129306 | TRW &gt;&gt; DF1963 | BRECO &gt;&gt; BS7938 | ACDelco &gt;&gt; AC2195D | ASHIKA &gt;&gt; 6004419 | CAR &gt;&gt; HPD916 | CAR &gt;&gt; 142916 | NIPPARTS &gt;&gt; J3304019 | Brake ENGINEERING &gt;&gt; DI952450 | APEC braking &gt;&gt; DSK190 | FREMAX &gt;&gt; BD0838 | KAGER &gt;&gt; 370003 | GIRLING &gt;&gt; 6019631 | AP &gt;&gt; 24202 | KAWE &gt;&gt; 636910 | KAWE &gt;&gt; 37469 | PILENGA &gt;&gt; V305 | fri.tech. &gt;&gt; DF236 | sbs &gt;&gt; 202612 | sbs &gt;&gt; 1815202612 | E.T.F. &gt;&gt; 190838 | CIFAM &gt;&gt; 800306 | WOKING &gt;&gt; D636910 | VILLAR &gt;&gt; 6281496 | BLUE PRINT &gt;&gt; ADH24316 | OPEN PARTS &gt;&gt; BDR120420 | SOLID AUTO (UK) &gt;&gt; H106011 | FIRST LINE &gt;&gt; FBD048 | NPS &gt;&gt; H330A19 | ASHUKI &gt;&gt; 09909104 | IPS Parts &gt;&gt; IBT1419 | VEMA &gt;&gt; 98291 | JAPKO &gt;&gt; 60419 | ABE &gt;&gt; C34019ABE | QH Talbros &gt;&gt; BSF3591 | QH Talbros &gt;&gt; BDC3591</t>
  </si>
  <si>
    <t>VILLAR</t>
  </si>
  <si>
    <t>for Art.No.,  &gt;&gt; 628.1496 | O, mm &gt;&gt; 242 | Height, mm &gt;&gt; 44 | Brake Disc Type,  &gt;&gt; Internally Vented | Brake Disc Thickness, mm &gt;&gt; 19 | Min. thickness, mm &gt;&gt; 17 | Num. of holes,  &gt;&gt; 4 | Centering Diameter, mm &gt;&gt; 61 | Tightening Torque, Nm &gt;&gt; 11 |  &gt;&gt; with screws</t>
  </si>
  <si>
    <t>Thickness/Strength, mm &gt;&gt; 19 | O, mm &gt;&gt; 242 | Height, mm &gt;&gt; 44 | Brake Disc Type,  &gt;&gt; Vented | Brake Disc Thickness, mm &gt;&gt; 19 | Min. thickness, mm &gt;&gt; 17 | Num. of holes,  &gt;&gt; 4 | Centering Diameter, mm &gt;&gt; 61 |  &gt;&gt; with screws</t>
  </si>
  <si>
    <t>from construction year &gt;&gt; 01/1986 | to construction year &gt;&gt; 12/1989 | Fitting Position &gt;&gt; Front Axle</t>
  </si>
  <si>
    <t>HONDA &gt;&gt; 45251SB2781 | HONDA &gt;&gt; 45251SB2980 | HONDA &gt;&gt; 45251SB2780 | HONDA &gt;&gt; 45251SB2990 | HONDA &gt;&gt; 45251SB2782 | ACURA &gt;&gt; 45251SB2980 | ACURA &gt;&gt; 45251SB2782 | ACURA &gt;&gt; 45251SB2781 | ACURA &gt;&gt; 45251SB2780 | ACURA &gt;&gt; 45251SB2990 | ATE &gt;&gt; 24011901061 | PAGID &gt;&gt; 51113 | LUCAS ELECTRICAL &gt;&gt; DF1963 | BOSCH &gt;&gt; 0986478503 | TEXTAR &gt;&gt; 98200060701 | JURID &gt;&gt; 561384J | BENDIX &gt;&gt; 561384B | FTE &gt;&gt; BS3591 | HERTH+BUSS JAKOPARTS &gt;&gt; J3304019 | QUINTON HAZELL &gt;&gt; BSF3591 | FERODO &gt;&gt; DDF377 | BREMBO &gt;&gt; 09502310 | MINTEX &gt;&gt; MDC645 | ZIMMERMANN &gt;&gt; 280208800 | DELPHI &gt;&gt; BG2399 | METELLI &gt;&gt; 230306 | OPTIMAL &gt;&gt; BS3690 | REMSA &gt;&gt; 636910 | JAPANPARTS &gt;&gt; DI419AF | BRECO &gt;&gt; BS7938 | ASHIKA &gt;&gt; 6004419 | AP &gt;&gt; 24202 | BLUE PRINT &gt;&gt; ADH24311 | IPS Parts &gt;&gt; IBT1419</t>
  </si>
  <si>
    <t>Thickness/Strength, mm &gt;&gt; 21 | O, mm &gt;&gt; 262 | Height, mm &gt;&gt; 44,6 | Brake Disc Type,  &gt;&gt; Vented | Brake Disc Thickness, mm &gt;&gt; 21 | Min. thickness, mm &gt;&gt; 19 | Num. of holes,  &gt;&gt; 4 | Centering Diameter, mm &gt;&gt; 64,2</t>
  </si>
  <si>
    <t>from construction year &gt;&gt; 01/1990 | Fitting Position &gt;&gt; Front Axle</t>
  </si>
  <si>
    <t>HONDA &gt;&gt; 45251ST3E10 | HONDA &gt;&gt; 45251SK7J00 | HONDA &gt;&gt; 45251SR0A10 | HONDA &gt;&gt; SDB100600 | HONDA &gt;&gt; 45251SR0A00 | HONDA &gt;&gt; 45251SK7A00 | HONDA &gt;&gt; 45251SK7A10 | ROVER &gt;&gt; GBD90840 | ACURA &gt;&gt; 45251SR0A00 | ACURA &gt;&gt; 45251SK7A00 | ACURA &gt;&gt; 45251SR0A10 | ACURA &gt;&gt; SDB100600 | ATE &gt;&gt; 24012101051 | PAGID &gt;&gt; 51119 | LUCAS ELECTRICAL &gt;&gt; DF3021 | BOSCH &gt;&gt; 0986478174 | TEXTAR &gt;&gt; 98200060901 | JURID &gt;&gt; 561630J | BENDIX &gt;&gt; 561630B | FERODO &gt;&gt; DDF492 | BREMBO &gt;&gt; 09550975 | BREMBO &gt;&gt; 09550914 | ZIMMERMANN &gt;&gt; 280315300 | METELLI &gt;&gt; 230344 | JAPANPARTS &gt;&gt; DI426AF | JAPANPARTS &gt;&gt; DI426 | BRECO &gt;&gt; BS8039 | ASHIKA &gt;&gt; 6004426 | AP &gt;&gt; 24335E | AP &gt;&gt; X24335 | BLUE PRINT &gt;&gt; ADH24329 | IPS Parts &gt;&gt; IBT1426</t>
  </si>
  <si>
    <t>O, mm &gt;&gt; 239 | Brake Disc Thickness, mm &gt;&gt; 9 | Min. thickness, mm &gt;&gt; 8 | Brake Disc Type,  &gt;&gt; Solid | Num. of holes,  &gt;&gt; 4 | Bolt Hole Circle O, mm &gt;&gt; 100 | Height, mm &gt;&gt; 47,6 | Centering Diameter, mm &gt;&gt; 61 | Inner Diameter, mm &gt;&gt; 155 | Bore O, mm &gt;&gt; 13</t>
  </si>
  <si>
    <t>HONDA &gt;&gt; 42510SR3000 | HONDA &gt;&gt; 42510SR3G00 | HONDA &gt;&gt; 42510SR3J00 | HONDA &gt;&gt; 42510SR3A10 | HONDA &gt;&gt; 42510SR3A11 | ATE &gt;&gt; 24010901111 | PAGID &gt;&gt; 51122 | VALEO &gt;&gt; 186432 | BOSCH &gt;&gt; 0986479101 | TEXTAR &gt;&gt; 98200077901 | TEXTAR &gt;&gt; 92077900 | JURID &gt;&gt; 562016J | BENDIX &gt;&gt; 562016B | FTE &gt;&gt; BS4746 | HERTH+BUSS JAKOPARTS &gt;&gt; J3314009 | QUINTON HAZELL &gt;&gt; BSF4746 | QUINTON HAZELL &gt;&gt; BDC4746 | QUINTON HAZELL &gt;&gt; 652100 | FERODO &gt;&gt; DDF950 | FERODO &gt;&gt; DDF1358 | BREMBO &gt;&gt; 08571910 | MINTEX &gt;&gt; MDC846 | PEX &gt;&gt; 140223 | NK &gt;&gt; 202621 | ROADHOUSE &gt;&gt; 652100 | REMSA &gt;&gt; 652100 | TRW &gt;&gt; DF2657 | TRW &gt;&gt; DF4191 | BRADI &gt;&gt; 1191555 | BRECO &gt;&gt; BS7477 | CAR &gt;&gt; 142853 | NIPPARTS &gt;&gt; J3314009 | MGA &gt;&gt; D1325 | PILENGA &gt;&gt; 5310 | BLUE PRINT &gt;&gt; ADH24350</t>
  </si>
  <si>
    <t>DJ PARTS</t>
  </si>
  <si>
    <t>Brake Disc Type,  &gt;&gt; Vented | Hub O 1, mm &gt;&gt; 64,15 | Num. of holes,  &gt;&gt; 4 | Bolt Hole Circle O 1, mm &gt;&gt; 100 | Brake Disc Thickness, mm &gt;&gt; 21 | Fitting Position,  &gt;&gt; Front Axle</t>
  </si>
  <si>
    <t>HONDA &gt;&gt; 45251S5HT10 | HONDA &gt;&gt; 45251S6DE10 | HONDA &gt;&gt; 45251SK7000 | HONDA &gt;&gt; 45251SR0A00 | HONDA &gt;&gt; 45251SK7J00 | HONDA &gt;&gt; 45251SCC900 | HONDA &gt;&gt; 45251SK7A10 | HONDA &gt;&gt; 45251SK7A00 | HONDA &gt;&gt; 45251ST3E10 | HONDA &gt;&gt; 45251SR0A10 | MG &gt;&gt; SDB100600 | ROVER &gt;&gt; GBD90840 | TRW &gt;&gt; DF7345 | TRW &gt;&gt; DF3021</t>
  </si>
  <si>
    <t>ROTINGER</t>
  </si>
  <si>
    <t>Brake Disc Type,  &gt;&gt; Internally Vented | O, mm &gt;&gt; 241,7 | Inner Diameter, mm &gt;&gt; 122 | Centering Diameter, mm &gt;&gt; 61 | Height, mm &gt;&gt; 44,2 | Brake Disc Thickness, mm &gt;&gt; 19 | Min. thickness, mm &gt;&gt; 17 | Num. of holes,  &gt;&gt; 4 | Bolt Hole Circle O, mm &gt;&gt; 100 | Thread Size,  &gt;&gt; 12,70 | No. of holes 1,  &gt;&gt; 2</t>
  </si>
  <si>
    <t>HONDA &gt;&gt; 45251SB2990 | HONDA &gt;&gt; 45251SB2780 | HONDA &gt;&gt; 45251SB2781 | HONDA &gt;&gt; 45251SB2782HS | HONDA &gt;&gt; 45251SB2980 | HONDA &gt;&gt; 45251SB2782 | ACURA &gt;&gt; 45251SB2990 | HELLA &gt;&gt; 8DD355103101 | ATE &gt;&gt; 419106 | ATE &gt;&gt; 24011901061 | PAGID &gt;&gt; 51113 | VALEO &gt;&gt; 186431 | BOSCH &gt;&gt; 986478503 | BOSCH &gt;&gt; 0986AB5221 | BOSCH &gt;&gt; 0986AB9535 | BOSCH &gt;&gt; F026A00821 | BOSCH &gt;&gt; 0986478503 | BOSCH &gt;&gt; 0986AB6320 | LEMFORDER &gt;&gt; 2246801 | TEXTAR &gt;&gt; 98200060701 | TEXTAR &gt;&gt; 92060700 | JURID &gt;&gt; 561385J | JURID &gt;&gt; 561384J | JURID &gt;&gt; 561384JC | BENDIX &gt;&gt; 338776 | BENDIX &gt;&gt; 561385B | BENDIX &gt;&gt; 561384B | BENDIX &gt;&gt; 561384BC | FTE &gt;&gt; BS3591 | HERTH+BUSS JAKOPARTS &gt;&gt; J3304019 | QUINTON HAZELL &gt;&gt; BSF3591 | QUINTON HAZELL &gt;&gt; BDC3591 | QUINTON HAZELL &gt;&gt; 636910 | FERODO &gt;&gt; DDF3771 | FERODO &gt;&gt; DDF377 | BREMBO &gt;&gt; 09502310 | MINTEX &gt;&gt; MDC645 | PEX &gt;&gt; 140221 | ZIMMERMANN &gt;&gt; 280208852 | ZIMMERMANN &gt;&gt; 280208850 | ZIMMERMANN &gt;&gt; 280208800 | ZIMMERMANN &gt;&gt; 2802088 | DELPHI &gt;&gt; BS3591 | DELPHI &gt;&gt; BG399 | DELPHI &gt;&gt; BG2399 | METZGER &gt;&gt; 636910 | MAGNETI MARELLI &gt;&gt; 353611913240 | ROULUNDS RUBBER &gt;&gt; D2195 | TRISCAN &gt;&gt; 812040103 | METELLI &gt;&gt; 230306 | NK &gt;&gt; 202612 | NK &gt;&gt; 312612 | MAPCO &gt;&gt; 15610 | MEYLE &gt;&gt; 31155210011PD | ROADHOUSE &gt;&gt; 636910 | REMSA &gt;&gt; 636910 | JAPANPARTS &gt;&gt; DI419 | QH Benelux &gt;&gt; 53480 | NATIONAL &gt;&gt; NBD170 | A.B.S. &gt;&gt; 15938 | LPR &gt;&gt; H1141V | GRAF &gt;&gt; DF29306 | TRW &gt;&gt; DF1963 | BRADI &gt;&gt; 1191324 | OBTEC A/S &gt;&gt; 181808V | SEBRO &gt;&gt; 3453 | FAG &gt;&gt; BS3591 | ACDelco &gt;&gt; AC2195D | DBA &gt;&gt; DBA187 | CAR &gt;&gt; HPD916 | CAR &gt;&gt; 142916 | NIPPARTS &gt;&gt; J3304019 | MGA &gt;&gt; D1106 | Brake ENGINEERING &gt;&gt; DI952450 | APEC braking &gt;&gt; DSK190 | ABEX &gt;&gt; W0664 | GIRLING &gt;&gt; 6019631 | PILENGA &gt;&gt; V305 | WOKING &gt;&gt; P636910 | BLUE PRINT &gt;&gt; ADH24316 | FIRST LINE &gt;&gt; FBD048 | ROTINGER &gt;&gt; RT2003T5</t>
  </si>
  <si>
    <t>Brake Disc Type,  &gt;&gt; Perforated | Brake Disc Type,  &gt;&gt; Internally Vented | O, mm &gt;&gt; 241,7 | Inner Diameter, mm &gt;&gt; 122 | Centering Diameter, mm &gt;&gt; 61 | Height, mm &gt;&gt; 44,2 | Brake Disc Thickness, mm &gt;&gt; 19 | Min. thickness, mm &gt;&gt; 17 | Num. of holes,  &gt;&gt; 4 | Bolt Hole Circle O, mm &gt;&gt; 100 | Thread Size,  &gt;&gt; 12,70 | No. of holes 1,  &gt;&gt; 2</t>
  </si>
  <si>
    <t>HONDA &gt;&gt; 45251SB2990 | HONDA &gt;&gt; 45251SB2780 | HONDA &gt;&gt; 45251SB2781 | HONDA &gt;&gt; 45251SB2782HS | HONDA &gt;&gt; 45251SB2980 | HONDA &gt;&gt; 45251SB2782 | ACURA &gt;&gt; 45251SB2990 | HELLA &gt;&gt; 8DD355103101 | ATE &gt;&gt; 419106 | ATE &gt;&gt; 24011901061 | PAGID &gt;&gt; 51113 | VALEO &gt;&gt; 186431 | BOSCH &gt;&gt; 986478503 | BOSCH &gt;&gt; 0986AB5221 | BOSCH &gt;&gt; 0986AB9535 | BOSCH &gt;&gt; F026A00821 | BOSCH &gt;&gt; 0986478503 | BOSCH &gt;&gt; 0986AB6320 | LEMFORDER &gt;&gt; 2246801 | TEXTAR &gt;&gt; 98200060701 | TEXTAR &gt;&gt; 92060700 | JURID &gt;&gt; 561385J | JURID &gt;&gt; 561384J | JURID &gt;&gt; 561384JC | BENDIX &gt;&gt; 338776 | BENDIX &gt;&gt; 561385B | BENDIX &gt;&gt; 561384B | BENDIX &gt;&gt; 561384BC | FTE &gt;&gt; BS3591 | HERTH+BUSS JAKOPARTS &gt;&gt; J3304019 | QUINTON HAZELL &gt;&gt; BSF3591 | QUINTON HAZELL &gt;&gt; BDC3591 | QUINTON HAZELL &gt;&gt; 636910 | FERODO &gt;&gt; DDF3771 | FERODO &gt;&gt; DDF377 | BREMBO &gt;&gt; 09502310 | MINTEX &gt;&gt; MDC645 | PEX &gt;&gt; 140221 | ZIMMERMANN &gt;&gt; 280208852 | ZIMMERMANN &gt;&gt; 280208850 | ZIMMERMANN &gt;&gt; 280208800 | ZIMMERMANN &gt;&gt; 2802088 | DELPHI &gt;&gt; BS3591 | DELPHI &gt;&gt; BG399 | DELPHI &gt;&gt; BG2399 | METZGER &gt;&gt; 636910 | MAGNETI MARELLI &gt;&gt; 353611913240 | ROULUNDS RUBBER &gt;&gt; D2195 | TRISCAN &gt;&gt; 812040103 | METELLI &gt;&gt; 230306 | NK &gt;&gt; 202612 | NK &gt;&gt; 312612 | MAPCO &gt;&gt; 15610 | MEYLE &gt;&gt; 31155210011PD | ROADHOUSE &gt;&gt; 636910 | REMSA &gt;&gt; 636910 | JAPANPARTS &gt;&gt; DI419 | QH Benelux &gt;&gt; 53480 | NATIONAL &gt;&gt; NBD170 | A.B.S. &gt;&gt; 15938 | LPR &gt;&gt; H1141V | GRAF &gt;&gt; DF29306 | TRW &gt;&gt; DF1963 | BRADI &gt;&gt; 1191324 | OBTEC A/S &gt;&gt; 181808V | SEBRO &gt;&gt; 3453 | FAG &gt;&gt; BS3591 | ACDelco &gt;&gt; AC2195D | DBA &gt;&gt; DBA187 | CAR &gt;&gt; HPD916 | CAR &gt;&gt; 142916 | NIPPARTS &gt;&gt; J3304019 | MGA &gt;&gt; D1106 | Brake ENGINEERING &gt;&gt; DI952450 | APEC braking &gt;&gt; DSK190 | ABEX &gt;&gt; W0664 | GIRLING &gt;&gt; 6019631 | PILENGA &gt;&gt; V305 | WOKING &gt;&gt; P636910 | BLUE PRINT &gt;&gt; ADH24316 | FIRST LINE &gt;&gt; FBD048 | ROTINGER &gt;&gt; RT2003</t>
  </si>
  <si>
    <t>HONDA &gt;&gt; 45251SB2782 | HONDA &gt;&gt; 45251SB2781 | HONDA &gt;&gt; 45251SB2780 | HONDA &gt;&gt; 45251SB2990</t>
  </si>
  <si>
    <t>HONDA &gt;&gt; 45251SB2990 | HONDA &gt;&gt; 45251SB2782 | HONDA &gt;&gt; 45251SB2781 | HONDA &gt;&gt; 45251SB2780</t>
  </si>
  <si>
    <t>HONDA &gt;&gt; 42510SD2930 | HONDA &gt;&gt; 42510SD4A00 | HONDA &gt;&gt; 42510SH3000 | ACURA &gt;&gt; 42510SH3G00 | ACURA &gt;&gt; 42510SD2A00</t>
  </si>
  <si>
    <t>HONDA &gt;&gt; 42510SD2930 | HONDA &gt;&gt; 42510SH3000 | HONDA &gt;&gt; 42510SD4A00 | ACURA &gt;&gt; 42510SD2A00 | ACURA &gt;&gt; 42510SH3G00</t>
  </si>
  <si>
    <t>HONDA &gt;&gt; 42510SH3000 | HONDA &gt;&gt; 42510SD4A00 | HONDA &gt;&gt; 42510SD2930 | ACURA &gt;&gt; 42510SH3G00 | ACURA &gt;&gt; 42510SD2A00</t>
  </si>
  <si>
    <t>FARE SA</t>
  </si>
  <si>
    <t>Bellow, steering</t>
  </si>
  <si>
    <t>Height, mm &gt;&gt; 184 | Inner Diameter 1, mm &gt;&gt; 9,5 | Inner Diameter 2, mm &gt;&gt; 39</t>
  </si>
  <si>
    <t>HONDA &gt;&gt; 53534SB4000 | HONDA &gt;&gt; 53534SA5950 | HONDA &gt;&gt; 53534SA5951 | HONDA &gt;&gt; 53534SE0A52 | HONDA &gt;&gt; 53534SD4100 | HONDA &gt;&gt; 53534SC4000 | HONDA &gt;&gt; 53534SD4000 | HONDA &gt;&gt; 53537SH3000 | HONDA &gt;&gt; 53531SA5951 | HONDA &gt;&gt; 53534SB4952 | HONDA &gt;&gt; 53534SB4951 | HONDA &gt;&gt; 53534SB4305 | HONDA &gt;&gt; 55534SE0A52 | LEMFORDER &gt;&gt; 30139 | LEMFORDER &gt;&gt; 15443 | LEMFORDER &gt;&gt; 1544301 | LEMFORDER &gt;&gt; 537000023 | LEMFORDER &gt;&gt; 3013901</t>
  </si>
  <si>
    <t>Bellow</t>
  </si>
  <si>
    <t>Weight [g] &gt;&gt; 2</t>
  </si>
  <si>
    <t>Bellow, driveshaft</t>
  </si>
  <si>
    <t>Fitting Position,  &gt;&gt; Transmission End | Height, mm &gt;&gt; 86 | Inner Diameter 1, mm &gt;&gt; 20 | Inner Diameter 2, mm &gt;&gt; 66</t>
  </si>
  <si>
    <t>HONDA &gt;&gt; 44315SB20034</t>
  </si>
  <si>
    <t>Bellow Set, drive shaft</t>
  </si>
  <si>
    <t xml:space="preserve"> &gt;&gt; Thermoplast | Height, mm &gt;&gt; 97 | Inner Diameter 1, mm &gt;&gt; 23 | Inner Diameter 2, mm &gt;&gt; 81</t>
  </si>
  <si>
    <t>Fitting Position &gt;&gt; Wheel Side | Fitting Position &gt;&gt; Front Axle Left | Fitting Position &gt;&gt; Front Axle Right</t>
  </si>
  <si>
    <t>HONDA &gt;&gt; 44018SR3000 | HONDA &gt;&gt; 44018SR3901 | HONDA &gt;&gt; 44323SB0310 | HONDA &gt;&gt; G03722530 | HONDA &gt;&gt; 44018SR3G01 | HONDA &gt;&gt; 44018SR3900 | HONDA &gt;&gt; 44018SR3951 | HONDA &gt;&gt; 44333SF1961 | HONDA &gt;&gt; 44018SR3950 | HONDA &gt;&gt; 44333SD9003 | HONDA &gt;&gt; 44323SB2981 | HONDA &gt;&gt; G56022530 | HONDA &gt;&gt; G56822530 | MITSUBISHI &gt;&gt; MB620061 | MITSUBISHI &gt;&gt; MB620062 | MITSUBISHI &gt;&gt; MB526905 | MITSUBISHI &gt;&gt; MB620056 | MITSUBISHI &gt;&gt; MB620060 | MITSUBISHI &gt;&gt; MB526907 | MITSUBISHI &gt;&gt; MB297381 | MITSUBISHI &gt;&gt; MB297689 | MITSUBISHI &gt;&gt; MB526776 | MITSUBISHI &gt;&gt; MB297536 | MITSUBISHI &gt;&gt; MB297380 | HERTH+BUSS JAKOPARTS &gt;&gt; J2874000 | HERTH+BUSS JAKOPARTS &gt;&gt; J2885003 | HERTH+BUSS JAKOPARTS &gt;&gt; J2864007 | HERTH+BUSS JAKOPARTS &gt;&gt; J2865003 | HERTH+BUSS JAKOPARTS &gt;&gt; J2863004 | HERTH+BUSS JAKOPARTS &gt;&gt; J2864003 | JAPANPARTS &gt;&gt; KB036 | JAPANPARTS &gt;&gt; KB040 | JAPANPARTS &gt;&gt; KB008 | JAPANPARTS &gt;&gt; KB034 | ASHIKA &gt;&gt; 6300040 | ASHIKA &gt;&gt; 6300036 | ASHIKA &gt;&gt; 6300008 | ASHIKA &gt;&gt; 6302279 | ASHIKA &gt;&gt; 6300045 | BLUE PRINT &gt;&gt; ADS78105 | BLUE PRINT &gt;&gt; ADH28160 | BLUE PRINT &gt;&gt; ADH28112 | BLUE PRINT &gt;&gt; ADH28109 | BLUE PRINT &gt;&gt; ADH28105 | BLUE PRINT &gt;&gt; ADC48154 | BLUE PRINT &gt;&gt; ADC48103 | NPS &gt;&gt; M282A58 | NPS &gt;&gt; H282A60 | NPS &gt;&gt; H282A07 | JAPKO &gt;&gt; 63040 | JAPKO &gt;&gt; 63036 | JAPKO &gt;&gt; 63008</t>
  </si>
  <si>
    <t>Bellow Set</t>
  </si>
  <si>
    <t>O1/ O2, mm &gt;&gt; 19/67 | Height, mm &gt;&gt; 84</t>
  </si>
  <si>
    <t>Fitting Position &gt;&gt; Transmission End</t>
  </si>
  <si>
    <t>HONDA &gt;&gt; 44315SA7003 | HERTH+BUSS JAKOPARTS &gt;&gt; J2884012 | BLUE PRINT &gt;&gt; ADH28150 | NPS &gt;&gt; H282A50</t>
  </si>
  <si>
    <t>Fitting Position,  &gt;&gt; Wheel Side |  &gt;&gt; Thermoplast | Fitting Position,  &gt;&gt; Front Axle | Height, mm &gt;&gt; 97 | Weight, kg &gt;&gt; 0,306 | Inner Diameter 1, mm &gt;&gt; 23 | Quantity required,  &gt;&gt; 1 | Inner Diameter 2, mm &gt;&gt; 81</t>
  </si>
  <si>
    <t>HONDA &gt;&gt; 44018SR3901 | HONDA &gt;&gt; 44018SR3951 | HONDA &gt;&gt; 44018SR3G01 | HONDA &gt;&gt; G03722530 | HONDA &gt;&gt; 44018SR3950 | HONDA &gt;&gt; G56022530 | HONDA &gt;&gt; G56822530 | HONDA &gt;&gt; 44018SR3000 | HONDA &gt;&gt; 44018SR3900 | HONDA &gt;&gt; 44333SD9003 | HONDA &gt;&gt; 44333SF1961 | HONDA &gt;&gt; 44315SM4003 | HONDA &gt;&gt; 44323SB2981 | HONDA &gt;&gt; 44333SB2961 | HONDA &gt;&gt; 757403RUVILLE | HONDA &gt;&gt; J2864002HBJAKOPA | HONDA &gt;&gt; 44323SB0310 | MITSUBISHI &gt;&gt; MB620061 | MITSUBISHI &gt;&gt; MB620062 | MITSUBISHI &gt;&gt; MB620056 | MITSUBISHI &gt;&gt; MB620060 | MITSUBISHI &gt;&gt; MB297689 | MITSUBISHI &gt;&gt; MB526905 | MITSUBISHI &gt;&gt; MB526907 | MITSUBISHI &gt;&gt; MB526776 | MITSUBISHI &gt;&gt; MB297381 | MITSUBISHI &gt;&gt; MB297536 | MITSUBISHI &gt;&gt; MB297380 | RUVILLE &gt;&gt; 757403 | LEMFORDER &gt;&gt; 2008001 | LEMFORDER &gt;&gt; 1541901 | HERTH+BUSS JAKOPARTS &gt;&gt; J2864002 | HERTH+BUSS JAKOPARTS &gt;&gt; J2863004 | HERTH+BUSS JAKOPARTS &gt;&gt; J2885003 | HERTH+BUSS JAKOPARTS &gt;&gt; J2874000 | HERTH+BUSS JAKOPARTS &gt;&gt; J2884009 | HERTH+BUSS JAKOPARTS &gt;&gt; J2864003 | HERTH+BUSS JAKOPARTS &gt;&gt; J2864007 | HERTH+BUSS JAKOPARTS &gt;&gt; J2865003 | QUINTON HAZELL &gt;&gt; QJB515 | PEX &gt;&gt; 8097 | TRISCAN &gt;&gt; 854040802 | METELLI &gt;&gt; 130042 | METELLI &gt;&gt; 130049 | OPTIMAL &gt;&gt; MK811140 | JAPANPARTS &gt;&gt; KB036 | JAPANPARTS &gt;&gt; KB040 | JAPANPARTS &gt;&gt; KB034 | JAPANPARTS &gt;&gt; KB018 | JAPANPARTS &gt;&gt; KB008 | ASHIKA &gt;&gt; 6300045 | ASHIKA &gt;&gt; 6300040 | ASHIKA &gt;&gt; 6300036 | ASHIKA &gt;&gt; 6300018 | ASHIKA &gt;&gt; 6300008 | ASHIKA &gt;&gt; 6302279 | NIPPARTS &gt;&gt; J2864002 | NIPPARTS &gt;&gt; J2863004 | NIPPARTS &gt;&gt; J2862001 | SASIC &gt;&gt; 9004642 | IPD &gt;&gt; 352602 | IPD &gt;&gt; 352598 | AUTEX &gt;&gt; 503607 | AUTEX &gt;&gt; 503603 | BLUE PRINT &gt;&gt; ADS78105 | BLUE PRINT &gt;&gt; ADH28160 | BLUE PRINT &gt;&gt; ADH28155 | BLUE PRINT &gt;&gt; ADH28112 | BLUE PRINT &gt;&gt; ADH28109 | BLUE PRINT &gt;&gt; ADH28105 | BLUE PRINT &gt;&gt; ADC48154 | BLUE PRINT &gt;&gt; ADC48103 | FAI &gt;&gt; BK51227 | GOMET &gt;&gt; 331955 | SOLID AUTO (UK) &gt;&gt; H116003 | FIRST LINE &gt;&gt; FCB2187 | NPS &gt;&gt; H282A60 | NPS &gt;&gt; H282A55 | NPS &gt;&gt; H282A07 | NPS &gt;&gt; M282A58 | IPS Parts &gt;&gt; IBK10018 | JAPKO &gt;&gt; 63018 | QH Talbros &gt;&gt; QJB515 | QH Talbros &gt;&gt; QJB131</t>
  </si>
  <si>
    <t>Fitting Position,  &gt;&gt; Wheel Side |  &gt;&gt; Thermoplast | Inner Diameter 1, mm &gt;&gt; 23 | Fitting Position,  &gt;&gt; Front Axle | Inner Diameter 2, mm &gt;&gt; 81 | Height, mm &gt;&gt; 97 | Weight, kg &gt;&gt; 0,290 | Quantity required,  &gt;&gt; 1</t>
  </si>
  <si>
    <t>HONDA &gt;&gt; 44018SR3951 | HONDA &gt;&gt; 44018SR3000 | HONDA &gt;&gt; 44018SR3901 | HONDA &gt;&gt; 44018SR3950 | HONDA &gt;&gt; KB036JAPANPARTS | HONDA &gt;&gt; J2874000HBJAKOPA | HONDA &gt;&gt; 756828RUVILLE | HONDA &gt;&gt; KB034JAPANPARTS | HONDA &gt;&gt; J2863004HBJAKOPA | HONDA &gt;&gt; 44018SR3900 | HONDA &gt;&gt; J2865003HBJAKOPA | HONDA &gt;&gt; J2864003HBJAKOPA | HONDA &gt;&gt; J2864007HBJAKOPA | HONDA &gt;&gt; 757402RUVILLE | HONDA &gt;&gt; 44333SD9003 | HONDA &gt;&gt; G56022530 | HONDA &gt;&gt; G56822530 | HONDA &gt;&gt; 44333SF1961 | HONDA &gt;&gt; 6300036ASHIKA | HONDA &gt;&gt; G03722530 | HONDA &gt;&gt; 757455RUVILLE | HONDA &gt;&gt; 44323SB0310 | HONDA &gt;&gt; 44323SB2981 | HONDA &gt;&gt; 6300034ASHIKA | HONDA &gt;&gt; 44018SR3G01 | HONDA &gt;&gt; 4960938G00 | MAZDA &gt;&gt; J2863004HBJAKOPA | MAZDA &gt;&gt; G56822530 | MAZDA &gt;&gt; GD1922530 | MAZDA &gt;&gt; G56022530 | MAZDA &gt;&gt; G03722530 | MAZDA &gt;&gt; MA2N0M | MITSUBISHI &gt;&gt; 757370RUVILLE | MITSUBISHI &gt;&gt; 757373RUVILLE | MITSUBISHI &gt;&gt; 757362RUVILLE | MITSUBISHI &gt;&gt; KB040JAPANPARTS | MITSUBISHI &gt;&gt; 757313RUVILLE | MITSUBISHI &gt;&gt; J2885003HBJAKOPA | MITSUBISHI &gt;&gt; J2865003HBJAKOPA | MITSUBISHI &gt;&gt; J2863004HBJAKOPA | MITSUBISHI &gt;&gt; 6300040ASHIKA | MITSUBISHI &gt;&gt; 757704RUVILLE | MITSUBISHI &gt;&gt; MB620061 | MITSUBISHI &gt;&gt; MB620062 | MITSUBISHI &gt;&gt; MB620056 | MITSUBISHI &gt;&gt; MB620060 | MITSUBISHI &gt;&gt; MB297689 | MITSUBISHI &gt;&gt; MB526905 | MITSUBISHI &gt;&gt; MB526907 | MITSUBISHI &gt;&gt; MB526776 | MITSUBISHI &gt;&gt; MB297380 | MITSUBISHI &gt;&gt; MB297381 | MITSUBISHI &gt;&gt; MB297536 | HYUNDAI &gt;&gt; 4960938A00 | HYUNDAI &gt;&gt; 49509M2M00 | HYUNDAI &gt;&gt; 495093AB00 | HYUNDAI &gt;&gt; 4950938G00 | HYUNDAI &gt;&gt; 4950938E00 | HYUNDAI &gt;&gt; 4950938C00 | HYUNDAI &gt;&gt; 4950938A00 | HYUNDAI &gt;&gt; 4950926B00 | HYUNDAI &gt;&gt; 4950917A10 | HYUNDAI &gt;&gt; 4960938G00 | HYUNDAI &gt;&gt; 4960938E00 | HYUNDAI &gt;&gt; 4960938C00 | SPIDAN &gt;&gt; 23197 | SPIDAN &gt;&gt; 22346 | SPIDAN &gt;&gt; 24368 | RUVILLE &gt;&gt; 757313 | RUVILLE &gt;&gt; 757455 | RUVILLE &gt;&gt; 757402 | LEMFORDER &gt;&gt; 1542201 | HERTH+BUSS JAKOPARTS &gt;&gt; J2885003 | HERTH+BUSS JAKOPARTS &gt;&gt; J2868003 | HERTH+BUSS JAKOPARTS &gt;&gt; J2874000 | HERTH+BUSS JAKOPARTS &gt;&gt; J2865003 | HERTH+BUSS JAKOPARTS &gt;&gt; J2864007 | HERTH+BUSS JAKOPARTS &gt;&gt; J2864003 | HERTH+BUSS JAKOPARTS &gt;&gt; J2863004 | LOBRO &gt;&gt; 304134 | LOBRO &gt;&gt; 304036 | QUINTON HAZELL &gt;&gt; QJB532 | QUINTON HAZELL &gt;&gt; QJB785 | QUINTON HAZELL &gt;&gt; QJB531 | EKG &gt;&gt; 924368 | PEX &gt;&gt; 8166 | TRISCAN &gt;&gt; 854042807 | TRISCAN &gt;&gt; 854040807 | TRISCAN &gt;&gt; 854024813 | TRISCAN &gt;&gt; 854010904 | METELLI &gt;&gt; 130411 | METELLI &gt;&gt; 130126 | METELLI &gt;&gt; 130325 | OPTIMAL &gt;&gt; MK812060 | OPTIMAL &gt;&gt; MK810240 | JAPANPARTS &gt;&gt; KB255 | JAPANPARTS &gt;&gt; KB250 | JAPANPARTS &gt;&gt; KB040 | JAPANPARTS &gt;&gt; KB036 | JAPANPARTS &gt;&gt; KB034 | JAPANPARTS &gt;&gt; KB008 | ASHIKA &gt;&gt; 7204429 | ASHIKA &gt;&gt; 6302279 | ASHIKA &gt;&gt; 6302255 | ASHIKA &gt;&gt; 6302250 | ASHIKA &gt;&gt; 6300055 | ASHIKA &gt;&gt; 6300045 | ASHIKA &gt;&gt; 6300040 | ASHIKA &gt;&gt; 6300036 | ASHIKA &gt;&gt; 6300008 | NIPPARTS &gt;&gt; J2883004 | NIPPARTS &gt;&gt; J2863004 | NIPPARTS &gt;&gt; J2860505 | JP GROUP &gt;&gt; 4443700419 | JP GROUP &gt;&gt; 1543600969 | AUTEX &gt;&gt; 504034 | BLUE PRINT &gt;&gt; ADS78105 | BLUE PRINT &gt;&gt; ADH28160 | BLUE PRINT &gt;&gt; ADH28112 | BLUE PRINT &gt;&gt; ADH28109 | BLUE PRINT &gt;&gt; ADH28105 | BLUE PRINT &gt;&gt; ADC48154 | BLUE PRINT &gt;&gt; ADC48103 | AUTOFREN SEINSA &gt;&gt; D8276T | AUTOFREN SEINSA &gt;&gt; D8252 | AUTOFREN SEINSA &gt;&gt; D8244 | FAI &gt;&gt; BK51237 | GOMET &gt;&gt; 331960 | SOLID AUTO (UK) &gt;&gt; M316005 | FIRST LINE &gt;&gt; FCB2179 | NPS &gt;&gt; M282A58 | NPS &gt;&gt; H282A60 | NPS &gt;&gt; H282A07 | IPS Parts &gt;&gt; IBK10008 | JAPKO &gt;&gt; 72429 | JAPKO &gt;&gt; 63255 | JAPKO &gt;&gt; 63250 | JAPKO &gt;&gt; 63008 | QH Talbros &gt;&gt; QJB785 | QH Talbros &gt;&gt; QJB532 | QH Talbros &gt;&gt; QJB531</t>
  </si>
  <si>
    <t>Joint o, mm &gt;&gt; 25 | Overall Height, mm &gt;&gt; 93 | for shaft diameter, mm &gt;&gt; 78</t>
  </si>
  <si>
    <t>INTERPARTS &gt;&gt; BT24KIT | FALGA &gt;&gt; FA1227</t>
  </si>
  <si>
    <t>PASCAL</t>
  </si>
  <si>
    <t>O1/ O2, mm &gt;&gt; 23/81 | Height, mm &gt;&gt; 97</t>
  </si>
  <si>
    <t>Fitting Position &gt;&gt; Front Axle Right | Fitting Position &gt;&gt; Front Axle Left | Fitting Position &gt;&gt; Wheel Side</t>
  </si>
  <si>
    <t>HONDA &gt;&gt; 44018SR3901 | HONDA &gt;&gt; 44018SR3000 | HONDA &gt;&gt; 44018SR3900 | HONDA &gt;&gt; 44333SF1961 | HONDA &gt;&gt; G03722530 | HONDA &gt;&gt; 44333SD9003 | HONDA &gt;&gt; 44323SB0310 | HONDA &gt;&gt; 44323SB2981 | HONDA &gt;&gt; 44018SR3950 | HONDA &gt;&gt; 44018SR3951 | HONDA &gt;&gt; 44018SR3G01 | MAZDA &gt;&gt; G03722530 | MAZDA &gt;&gt; G56022530 | MAZDA &gt;&gt; G56822530 | MITSUBISHI &gt;&gt; MB620062 | MITSUBISHI &gt;&gt; MB886676 | MITSUBISHI &gt;&gt; MB620060 | MITSUBISHI &gt;&gt; MB620061 | MITSUBISHI &gt;&gt; MB526907 | MITSUBISHI &gt;&gt; MB620056 | MITSUBISHI &gt;&gt; MB297536 | MITSUBISHI &gt;&gt; MB526776 | MITSUBISHI &gt;&gt; MB526905 | MITSUBISHI &gt;&gt; MB297689 | MITSUBISHI &gt;&gt; MB297380 | MITSUBISHI &gt;&gt; MB297381 | RUVILLE &gt;&gt; 757704 | RUVILLE &gt;&gt; 757455 | RUVILLE &gt;&gt; 757402 | RUVILLE &gt;&gt; 757373 | RUVILLE &gt;&gt; 757370 | RUVILLE &gt;&gt; 757313 | RUVILLE &gt;&gt; 757362 | RUVILLE &gt;&gt; 756828 | LEMFORDER &gt;&gt; 15471 | LEMFORDER &gt;&gt; 20086 | LEMFORDER &gt;&gt; 15423 | LEMFORDER &gt;&gt; 15422 | LEMFORDER &gt;&gt; 15542 | HERTH+BUSS JAKOPARTS &gt;&gt; J2885003 | HERTH+BUSS JAKOPARTS &gt;&gt; J2874000 | HERTH+BUSS JAKOPARTS &gt;&gt; J2865003 | HERTH+BUSS JAKOPARTS &gt;&gt; J2864003 | HERTH+BUSS JAKOPARTS &gt;&gt; J2864007 | HERTH+BUSS JAKOPARTS &gt;&gt; J2863004 | QUINTON HAZELL &gt;&gt; QJB564 | QUINTON HAZELL &gt;&gt; QJB532 | QUINTON HAZELL &gt;&gt; QJB531 | QUINTON HAZELL &gt;&gt; QJB529 | QUINTON HAZELL &gt;&gt; QJB181 | QUINTON HAZELL &gt;&gt; QJB483 | QUINTON HAZELL &gt;&gt; QJB614 | QUINTON HAZELL &gt;&gt; QJB785 | PEX &gt;&gt; 8166 | TRISCAN &gt;&gt; 854042906 | TRISCAN &gt;&gt; 854010812 | JAPANPARTS &gt;&gt; KB040 | JAPANPARTS &gt;&gt; KB036 | JAPANPARTS &gt;&gt; KB034 | JAPANPARTS &gt;&gt; JKB034 | JAPANPARTS &gt;&gt; JKB008 | ASHIKA &gt;&gt; 6300040 | ASHIKA &gt;&gt; 6300036 | ASHIKA &gt;&gt; 6300034 | NIPPARTS &gt;&gt; J2863004</t>
  </si>
  <si>
    <t>Bellow Set, steering</t>
  </si>
  <si>
    <t>Fitting Position &gt;&gt; Left | Fitting Position &gt;&gt; Right</t>
  </si>
  <si>
    <t>HONDA &gt;&gt; 53534SD4100 | HONDA &gt;&gt; 53534SD4000 | HONDA &gt;&gt; 53534SC4000 | HONDA &gt;&gt; 53534SB4305 | HONDA &gt;&gt; 53534SB4000 | HONDA &gt;&gt; 53534SA5951 | HONDA &gt;&gt; 53534SA5950 | SPIDAN &gt;&gt; 83620 | HERTH+BUSS JAKOPARTS &gt;&gt; J4104007 | HERTH+BUSS JAKOPARTS &gt;&gt; J2844001 | MOOG &gt;&gt; K150051 | SIDEM &gt;&gt; 313032 | BLUE PRINT &gt;&gt; ADH281501</t>
  </si>
  <si>
    <t>O1/ O2, mm &gt;&gt; 9,6/39,6 | Height, mm &gt;&gt; 169</t>
  </si>
  <si>
    <t>HONDA &gt;&gt; 53534SA5950 | HONDA &gt;&gt; 53534SB4000 | HONDA &gt;&gt; 53534SB4305 | HONDA &gt;&gt; 53534SC4000 | HONDA &gt;&gt; 53534SA5951 | HONDA &gt;&gt; 53534SD4100 | HONDA &gt;&gt; 53534SD4000 | SPIDAN &gt;&gt; 83620 | RUVILLE &gt;&gt; 947401 | LEMFORDER &gt;&gt; 15443 | LEMFORDER &gt;&gt; 30139 | HERTH+BUSS JAKOPARTS &gt;&gt; J4104007 | SIDEM &gt;&gt; 313032 | NIPPARTS &gt;&gt; J2844001</t>
  </si>
  <si>
    <t>DOGA</t>
  </si>
  <si>
    <t>Gas Spring, boot-/cargo area</t>
  </si>
  <si>
    <t>Length, mm &gt;&gt; 841 | Stroke, mm &gt;&gt; 313 | Housing Diameter, mm &gt;&gt; 18 | O, mm &gt;&gt; 8 | Eject Force, N &gt;&gt; 258</t>
  </si>
  <si>
    <t>ACURA &gt;&gt; 85020SD2010</t>
  </si>
  <si>
    <t>Gas Spring</t>
  </si>
  <si>
    <t>Body</t>
  </si>
  <si>
    <t>Boot-/Cargo Area Lid</t>
  </si>
  <si>
    <t>Joint, drive shaft</t>
  </si>
  <si>
    <t>DELCO REMY</t>
  </si>
  <si>
    <t>Ext. Teeth, wheel side,  &gt;&gt; 26 | Int. teeth. wheel side,  &gt;&gt; 32 | Seal diam., mm &gt;&gt; 49 | Outer Diameter, mm &gt;&gt; 87</t>
  </si>
  <si>
    <t>Fitting Position &gt;&gt; Wheel Side</t>
  </si>
  <si>
    <t>HONDA &gt;&gt; 44305SFO621 | HONDA &gt;&gt; 44305SEOJ21 | HONDA &gt;&gt; 44305SEOJ22 | HONDA &gt;&gt; 44305SH3J01 | HONDA &gt;&gt; 44306SBO651 | HONDA &gt;&gt; 44306SH3G22 | HONDA &gt;&gt; 44306SFO973 | HONDA &gt;&gt; 44306SBO650 | HONDA &gt;&gt; 44306SFO971 | HONDA &gt;&gt; 44306SFO970 | HONDA &gt;&gt; 44305SH3J00 | HONDA &gt;&gt; 44306SBO040 | HONDA &gt;&gt; 44306SFO621 | HONDA &gt;&gt; 44306SEOJ23 | HONDA &gt;&gt; 44306SBO030 | HONDA &gt;&gt; 44306SEOJ22 | HONDA &gt;&gt; 44306SEOJ21 | HONDA &gt;&gt; 44305SH3G23 | HONDA &gt;&gt; 44305SH3G25 | HONDA &gt;&gt; 44306SBO020 | HONDA &gt;&gt; 44306SEOJ20 | HONDA &gt;&gt; 44306SEOG23 | HONDA &gt;&gt; 44306SBO010 | HONDA &gt;&gt; 44306SEOG21 | HONDA &gt;&gt; 44306SEOG20 | HONDA &gt;&gt; 44306SA5971 | HONDA &gt;&gt; 44306SB2982 | HONDA &gt;&gt; 44306SEOG12 | HONDA &gt;&gt; 44306SEOG10 | HONDA &gt;&gt; 44306SEO921 | HONDA &gt;&gt; 44306SEO923 | HONDA &gt;&gt; 44305SH3J10 | HONDA &gt;&gt; 44305SEOJ20 | HONDA &gt;&gt; 44305SH3G21 | HONDA &gt;&gt; 44306SA5970 | HONDA &gt;&gt; 44306SEO920 | HONDA &gt;&gt; 44306SEO911 | HONDA &gt;&gt; 44306SA5660 | HONDA &gt;&gt; 44306SEO910 | HONDA &gt;&gt; 44306SD2965 | HONDA &gt;&gt; 44305SFO972 | HONDA &gt;&gt; 44306SA5623 | HONDA &gt;&gt; 44306SD2964 | HONDA &gt;&gt; 44306SD2963 | HONDA &gt;&gt; 44306SA5622 | HONDA &gt;&gt; 44306SD2962 | HONDA &gt;&gt; 44306SD2961 | HONDA &gt;&gt; 44306SBO970 | HONDA &gt;&gt; 44305SFO971 | HONDA &gt;&gt; 44306SA5611 | HONDA &gt;&gt; 44306SD2903 | HONDA &gt;&gt; 44306SD2901 | HONDA &gt;&gt; 44305SH9003 | HONDA &gt;&gt; 44306SD2900 | HONDA &gt;&gt; 44306SD2030 | HONDA &gt;&gt; 44306SH3G24 | HONDA &gt;&gt; 44305SH9000 | HONDA &gt;&gt; 44306SD2020 | HONDA &gt;&gt; 44306SH9J01 | HONDA &gt;&gt; 44306SD2010 | HONDA &gt;&gt; 44306SH9J00 | HONDA &gt;&gt; 44306SH3J11 | HONDA &gt;&gt; 44306SH3G26 | HONDA &gt;&gt; 44306SBO971 | HONDA &gt;&gt; 44306SH3J01 | HONDA &gt;&gt; 44306SH3J00 | METELLI &gt;&gt; 150260 | METELLI &gt;&gt; 150045 | METELLI &gt;&gt; 150101 | NIPPARTS &gt;&gt; J2824006 | NIPPARTS &gt;&gt; 2824006 | CIFAM &gt;&gt; 606260 | CIFAM &gt;&gt; 606101 | CIFAM &gt;&gt; 606045</t>
  </si>
  <si>
    <t>Control Arm-/Trailing Arm Bush</t>
  </si>
  <si>
    <t>Fitting Position &gt;&gt; Outer | Fitting Position &gt;&gt; Lower | Fitting Position &gt;&gt; Front Axle Left | Fitting Position &gt;&gt; Front Axle Right</t>
  </si>
  <si>
    <t>HONDA &gt;&gt; 51393SB2033</t>
  </si>
  <si>
    <t>Mounting</t>
  </si>
  <si>
    <t>Wheel Suspension</t>
  </si>
  <si>
    <t>Link</t>
  </si>
  <si>
    <t>Fitting Position &gt;&gt; inner | Fitting Position &gt;&gt; Lower | Fitting Position &gt;&gt; Front Axle Left | Fitting Position &gt;&gt; Front Axle Right</t>
  </si>
  <si>
    <t>HONDA &gt;&gt; 51396SB2003 | KAVO PARTS &gt;&gt; SCR2078</t>
  </si>
  <si>
    <t>GSP</t>
  </si>
  <si>
    <t>Fitting Position,  &gt;&gt; Front Axle Right</t>
  </si>
  <si>
    <t>HONDA &gt;&gt; 51396SB2003 | YAMATO &gt;&gt; J44002AYMT</t>
  </si>
  <si>
    <t>YAMATO</t>
  </si>
  <si>
    <t>Fitting Position &gt;&gt; Front Axle Right | Fitting Position &gt;&gt; Front Axle Left | Fitting Position &gt;&gt; Lower | Fitting Position &gt;&gt; inner</t>
  </si>
  <si>
    <t>HONDA &gt;&gt; 51396SB2003</t>
  </si>
  <si>
    <t>STELLOX</t>
  </si>
  <si>
    <t>Fitting Position,  &gt;&gt; Rear</t>
  </si>
  <si>
    <t>HONDA &gt;&gt; 51396SB2003 | JAPCAR &gt;&gt; J44002A</t>
  </si>
  <si>
    <t>Brake Master Cylinder</t>
  </si>
  <si>
    <t>Thread Size,  &gt;&gt; M10x1 | Cyl.Bore, mm &gt;&gt; 22,2 |  &gt;&gt; Aluminium</t>
  </si>
  <si>
    <t>for article number &gt;&gt; 5323</t>
  </si>
  <si>
    <t>HONDA &gt;&gt; 46100SD2A01 | HONDA &gt;&gt; 46100SE0903 | DELPHI &gt;&gt; LM60607 | METELLI &gt;&gt; 050214 | A.B.S. &gt;&gt; 71565 | LPR &gt;&gt; 1614 | TRW &gt;&gt; PMH950 | TRW &gt;&gt; PMH327 | INTERBRAKE &gt;&gt; MCY5323 | CAR &gt;&gt; 5323 | CIFAM &gt;&gt; 202214</t>
  </si>
  <si>
    <t>Cylinder</t>
  </si>
  <si>
    <t>Thread Size,  &gt;&gt; 10 x 1 (2) | for Art.No.,  &gt;&gt; M 28 007 | Bore O, mm &gt;&gt; 22,2 |  &gt;&gt; Aluminium</t>
  </si>
  <si>
    <t>Braking / Drive Dynamics &gt;&gt; for vehicles without ABS</t>
  </si>
  <si>
    <t>ISUZU &gt;&gt; 132937B | KRUPP &gt;&gt; GMC462 | MULTICAR &gt;&gt; PMH327 | MULTICAR &gt;&gt; PMH950 | DENNIS &gt;&gt; LM60607 | HEULIEZ &gt;&gt; 46100SK7903 | HEULIEZ &gt;&gt; 46100SE0903</t>
  </si>
  <si>
    <t>DELPHI</t>
  </si>
  <si>
    <t>Piston O, mm &gt;&gt; 22,2</t>
  </si>
  <si>
    <t>Brake System &gt;&gt; Nabco | Braking / Drive Dynamics &gt;&gt; for vehicles without ABS</t>
  </si>
  <si>
    <t>HONDA &gt;&gt; 46100SE0903 | HONDA &gt;&gt; 46100SD2A01 | HONDA &gt;&gt; 46100SE0904 | HONDA &gt;&gt; 46100SK7903 | ACURA &gt;&gt; 46100SK7903 | BENDIX &gt;&gt; 132937B | BREMBO &gt;&gt; M28007 | A.B.S. &gt;&gt; 71565 | LPR &gt;&gt; 821660 | LPR &gt;&gt; 1614 | UNIPART &gt;&gt; GMC462 | MGA &gt;&gt; MC2363 | Brake ENGINEERING &gt;&gt; MC1614 | Brake ENGINEERING &gt;&gt; MC1348BE | Brake ENGINEERING &gt;&gt; 1614 | CIFAM &gt;&gt; 202214 | CIFAM &gt;&gt; 202212 | CIFAM &gt;&gt; 050214 | SAMKO &gt;&gt; P21660 | FIRST LINE &gt;&gt; FBM4103 | NUOVA TECNODELTA &gt;&gt; 5323 | NUOVA TECNODELTA &gt;&gt; 5281 | HITEC &gt;&gt; H715650 | FEDERAL MOGUL &gt;&gt; CBM1523</t>
  </si>
  <si>
    <t>for Art.No.,  &gt;&gt; 1614 | Brake System,  &gt;&gt; NISSIN |  &gt;&gt; Aluminium | Bore O, mm &gt;&gt; 22,2 | Thread Size,  &gt;&gt; 10 x 1 (2)</t>
  </si>
  <si>
    <t>HONDA &gt;&gt; 46100SB2821 | HONDA &gt;&gt; 46100SD2G01 | HONDA &gt;&gt; 46100SE0902 | HONDA &gt;&gt; 46100SH3932 | HONDA &gt;&gt; 46100SK7903 | HONDA &gt;&gt; 46100SE0903 | HONDA &gt;&gt; 46100SD2A01 | HONDA &gt;&gt; 46100SH3931 | HONDA &gt;&gt; 46100SE0904 | ACURA &gt;&gt; 46100SK7903 | ACURA &gt;&gt; 46100SE0903 | BENDIX &gt;&gt; 132937B | BREMBO &gt;&gt; M28007 | DELPHI &gt;&gt; LM60607 | METELLI &gt;&gt; 050212 | TRUSTING &gt;&gt; PF184 | UNIPART &gt;&gt; GMC462 | TRW &gt;&gt; PMH950 | TRW &gt;&gt; PMH327 | BRECO &gt;&gt; M28007 | EIS &gt;&gt; E150143 | Brake ENGINEERING &gt;&gt; MC1348BE | fri.tech. &gt;&gt; PF184 | CIFAM &gt;&gt; 202212 | VILLAR &gt;&gt; 6212925 | SAMKO &gt;&gt; P21660 | NUOVA TECNODELTA &gt;&gt; 5323 | WAGNER &gt;&gt; F116455</t>
  </si>
  <si>
    <t>for Art.No.,  &gt;&gt; 5323 | Thread Size,  &gt;&gt; 2xM10x1 | Cyl.Bore, mm &gt;&gt; 22,2 |  &gt;&gt; Aluminium</t>
  </si>
  <si>
    <t>HONDA &gt;&gt; 46100SD2A01 | HONDA &gt;&gt; 46100SE0903 | DELPHI &gt;&gt; LM60607 | METELLI &gt;&gt; 050214 | A.B.S. &gt;&gt; 71565 | LPR &gt;&gt; 1614 | TRW &gt;&gt; PMH950 | TRW &gt;&gt; PMH327 | INTERBRAKE &gt;&gt; MCY5323 | CIFAM &gt;&gt; 202214 | SAMKO &gt;&gt; P21660</t>
  </si>
  <si>
    <t>O, mm &gt;&gt; 22,22</t>
  </si>
  <si>
    <t>HONDA &gt;&gt; 46100SD2A01 | HONDA &gt;&gt; 46100SE0903 | LPR &gt;&gt; 1614</t>
  </si>
  <si>
    <t>Bore O, mm &gt;&gt; 22,22 | Thread Size,  &gt;&gt; 10 x 1 (2) |  &gt;&gt; Aluminium | for Art.No.,  &gt;&gt; 1614 | Brake System,  &gt;&gt; NISSIN</t>
  </si>
  <si>
    <t>HONDA &gt;&gt; 46100SB2821 | HONDA &gt;&gt; 46100SD2G01 | HONDA &gt;&gt; 46100SE0903 | HONDA &gt;&gt; 46100SE0904 | HONDA &gt;&gt; 46100SD2A01 | HONDA &gt;&gt; 46100SK7903 | ACURA &gt;&gt; 46100SK7903 | ACURA &gt;&gt; 46100SE0903 | BENDIX &gt;&gt; 132937B | DELPHI &gt;&gt; LM60607 | METELLI &gt;&gt; 050212 | TRUSTING &gt;&gt; PF184 | UNIPART &gt;&gt; GMC462 | TRW &gt;&gt; PMH950 | TRW &gt;&gt; PMH327 | EIS &gt;&gt; E150143 | Brake ENGINEERING &gt;&gt; MC1348BE | fri.tech. &gt;&gt; PF184 | CIFAM &gt;&gt; 202212 | VILLAR &gt;&gt; 6212925 | NUOVA TECNODELTA &gt;&gt; 5323 | WAGNER &gt;&gt; F116455</t>
  </si>
  <si>
    <t>for Art.No.,  &gt;&gt; 621.2925 | Bore O, mm &gt;&gt; 22,22 | Thread Size,  &gt;&gt; 10x1 (2) |  &gt;&gt; Aluminium</t>
  </si>
  <si>
    <t>Braking / Drive Dynamics &gt;&gt; for vehicles without ABS | Brake System &gt;&gt; Nissin</t>
  </si>
  <si>
    <t>HONDA &gt;&gt; 46100SE0904 | HONDA &gt;&gt; 46100SE0903 | HONDA &gt;&gt; 46100SD2A01 | ACURA &gt;&gt; 46100SE0903 | BENDIX &gt;&gt; 132937B | DELPHI &gt;&gt; LM60607 | METELLI &gt;&gt; 050212 | UNIPART &gt;&gt; GMC462 | TRW &gt;&gt; PMH950 | TRW &gt;&gt; PMH327 | EIS &gt;&gt; E150143 | WAGNER LOCKHEED &gt;&gt; F116455 | Brake ENGINEERING &gt;&gt; MC1348BE | CIFAM &gt;&gt; 202212 | VILLAR &gt;&gt; 6212925</t>
  </si>
  <si>
    <t>Bore O 1, mm &gt;&gt; 22,22</t>
  </si>
  <si>
    <t>HONDA &gt;&gt; 46100SD2003 | HONDA &gt;&gt; 46100SD2G01 | HONDA &gt;&gt; 46100SE0013 | HONDA &gt;&gt; 46100SK7903 | HONDA &gt;&gt; 46100SH3932 | HONDA &gt;&gt; 46100SE0003 | HONDA &gt;&gt; 46100SH3931 | HONDA &gt;&gt; 46100SE0904 | HONDA &gt;&gt; 46100SE0G02 | HONDA &gt;&gt; 46100SD2A01 | HONDA &gt;&gt; 46100SE0903 | HONDA &gt;&gt; 46100SE0901 | HONDA &gt;&gt; 46100SK7J03 | HONDA &gt;&gt; 46100SE0305 | HONDA &gt;&gt; 46100SK7J02 | HONDA &gt;&gt; 46100SK7J01 | BOSCH &gt;&gt; 0986480700 | FERODO &gt;&gt; FHM1158 | DELPHI &gt;&gt; LM60695 | DELPHI &gt;&gt; LM60607 | A.B.S. &gt;&gt; 71119 | A.B.S. &gt;&gt; 71565 | A.B.S. &gt;&gt; 71118 | LPR &gt;&gt; 1828 | LPR &gt;&gt; 1614 | TRW &gt;&gt; PMH950 | TRW &gt;&gt; PMH413 | TRW &gt;&gt; PMH396 | TRW &gt;&gt; PMH327 | TRW &gt;&gt; PMH324 | TRW &gt;&gt; PMA190 | TRW &gt;&gt; PMA188 | AISIN &gt;&gt; MH012 | AISIN &gt;&gt; MH009 | AISIN &gt;&gt; MH002 | PBR &gt;&gt; JB1754 | BOSCH AMAZON &gt;&gt; 0986480700</t>
  </si>
  <si>
    <t>Track Control Arm</t>
  </si>
  <si>
    <t xml:space="preserve"> &gt;&gt; Trailing Arm</t>
  </si>
  <si>
    <t>Fitting Position &gt;&gt; Lower | Fitting Position &gt;&gt; Front Axle Left</t>
  </si>
  <si>
    <t>HONDA &gt;&gt; 51361SB2013 | HONDA &gt;&gt; 51361SB2672 | HONDA &gt;&gt; 51361SB6931 | SPIDAN &gt;&gt; 44549 | RUVILLE &gt;&gt; 916111 | LEMFORDER &gt;&gt; 1169403 | LEMFORDER &gt;&gt; 11694 | HERTH+BUSS JAKOPARTS &gt;&gt; J4904003 | DELPHI &gt;&gt; TC578 | TRISCAN &gt;&gt; 850040008 | MOOG &gt;&gt; HOTC10870 | SIDEM &gt;&gt; 47188 | MEYLE &gt;&gt; 31160500008 | JAPANPARTS &gt;&gt; TI481 | OCAP &gt;&gt; 793333 | OCAP &gt;&gt; 0793333 | KAVO PARTS &gt;&gt; SCA2043 | TRW &gt;&gt; JTC232 | TRW &gt;&gt; JTC457 | ASHIKA &gt;&gt; 11104481 | BLUE PRINT &gt;&gt; ADH28602 | NPS &gt;&gt; H420A02 | JAPKO &gt;&gt; 111481 | A.B.S. &gt;&gt; 210279</t>
  </si>
  <si>
    <t>Fitting Position &gt;&gt; Lower | Fitting Position &gt;&gt; Front Axle Right</t>
  </si>
  <si>
    <t>HONDA &gt;&gt; 51351SB2013 | HONDA &gt;&gt; 51351SB2672 | HONDA &gt;&gt; 51351SB6931 | SPIDAN &gt;&gt; 44550 | RUVILLE &gt;&gt; 916112 | LEMFORDER &gt;&gt; 1169302 | LEMFORDER &gt;&gt; 11693 | HERTH+BUSS JAKOPARTS &gt;&gt; J4914003 | QUINTON HAZELL &gt;&gt; QSJ1089S | DELPHI &gt;&gt; TC577 | TRISCAN &gt;&gt; 850040009 | MOOG &gt;&gt; HOTC10867 | SIDEM &gt;&gt; 47189 | MEYLE &gt;&gt; 31160500001 | JAPANPARTS &gt;&gt; CW495 | OCAP &gt;&gt; 783333 | OCAP &gt;&gt; 0783333 | KAVO PARTS &gt;&gt; SCA2040 | TRW &gt;&gt; JTC231 | TRW &gt;&gt; JTC458 | ASHIKA &gt;&gt; 2604495 | BLUE PRINT &gt;&gt; ADH28601 | BLUE PRINT &gt;&gt; ADH28603 | NPS &gt;&gt; H420A01 | JAPKO &gt;&gt; 26495 | A.B.S. &gt;&gt; 210276</t>
  </si>
  <si>
    <t xml:space="preserve"> &gt;&gt; Control Arm | Fitting Position,  &gt;&gt; Lower | Weight, kg &gt;&gt; 0,013 | Quantity required,  &gt;&gt; 1</t>
  </si>
  <si>
    <t>Fitting Position &gt;&gt; Front Axle Right</t>
  </si>
  <si>
    <t>HONDA &gt;&gt; 210276ABS | HONDA &gt;&gt; 2604495ASHIKA | HONDA &gt;&gt; 51351SB6931 | HONDA &gt;&gt; JTC458TRW | HONDA &gt;&gt; J4914003HBJAKOPA | HONDA &gt;&gt; 916112RUVILLE | HONDA &gt;&gt; 47189SIDEM | HONDA &gt;&gt; 51351SB2013 | HONDA &gt;&gt; 51351SB2672 | HONDA &gt;&gt; HOTC10867MOOG | HONDA &gt;&gt; TC577DELPHI | HONDA &gt;&gt; 44550SPIDAN | HONDA &gt;&gt; CW495JAPANPARTS | HONDA &gt;&gt; 31160500001MEYLE | SPIDAN &gt;&gt; 44550 | RUVILLE &gt;&gt; 916112 | LEMFORDER &gt;&gt; 11693 | LEMFORDER &gt;&gt; 1169303 | LEMFORDER &gt;&gt; 1169302 | MONROE &gt;&gt; L40009 | BENDIX &gt;&gt; 042141B | HERTH+BUSS JAKOPARTS &gt;&gt; J4914003 | QUINTON HAZELL &gt;&gt; QSJ1089S | BORG &amp; BECK &gt;&gt; BCA5638 | KLOKKERHOLM &gt;&gt; 2907362A1 | DELPHI &gt;&gt; TC578 | DELPHI &gt;&gt; TC577 | TRISCAN &gt;&gt; 850040009 | OPTIMAL &gt;&gt; G6553 | MAPCO &gt;&gt; 59331 | MOOG &gt;&gt; HOTC10867 | SIDEM &gt;&gt; 47189 | MEYLE &gt;&gt; 31160500001 | JAPANPARTS &gt;&gt; CW495 | A.B.S. &gt;&gt; 210276 | OCAP &gt;&gt; 783333 | OCAP &gt;&gt; 0783333 | KAVO PARTS &gt;&gt; SCA2040 | BIRTH &gt;&gt; BR1535 | TRW &gt;&gt; JTC458 | TRW &gt;&gt; JTC231 | FLENNOR &gt;&gt; FL442G | 555 &gt;&gt; SA6062R | ASHIKA &gt;&gt; 2604495 | NIPPARTS &gt;&gt; J4914003 | MGA &gt;&gt; SB7491 | KSP &gt;&gt; SCA2040 | KAGER &gt;&gt; 870102 | KAWE &gt;&gt; SCA2040 | TOPRAN &gt;&gt; 850040009 | INDELDIS KX 7 &gt;&gt; SU40442 | BLUE PRINT &gt;&gt; ADH28603 | BLUE PRINT &gt;&gt; ADH28601 | FAI &gt;&gt; SS429 | SOLID AUTO (UK) &gt;&gt; H130002 | FIRST LINE &gt;&gt; FCA5638 | NPS &gt;&gt; H420A01 | VEMA &gt;&gt; 22408 | JAPKO &gt;&gt; 26495 | QH Talbros &gt;&gt; QSJ1089S</t>
  </si>
  <si>
    <t xml:space="preserve"> &gt;&gt; Control Arm | Fitting Position,  &gt;&gt; Lower | Weight, kg &gt;&gt; 0,014 | Quantity required,  &gt;&gt; 1</t>
  </si>
  <si>
    <t>Fitting Position &gt;&gt; Front Axle Left</t>
  </si>
  <si>
    <t>HONDA &gt;&gt; 916111RUVILLE | HONDA &gt;&gt; 210279ABS | HONDA &gt;&gt; TC578DELPHI | HONDA &gt;&gt; 51361SB2672 | HONDA &gt;&gt; JTC457TRW | HONDA &gt;&gt; 51361SB6931 | HONDA &gt;&gt; TI481JAPANPARTS | HONDA &gt;&gt; 11104481ASHIKA | HONDA &gt;&gt; 51361SB2003 | HONDA &gt;&gt; 51361SB2013 | HONDA &gt;&gt; J4904003HBJAKOPA | HONDA &gt;&gt; 47188SIDEM | HONDA &gt;&gt; HOTC10870MOOG | HONDA &gt;&gt; 31160500008MEYLE | HONDA &gt;&gt; 44549SPIDAN | SPIDAN &gt;&gt; 44549 | RUVILLE &gt;&gt; 916111 | LEMFORDER &gt;&gt; 11694 | LEMFORDER &gt;&gt; 1169403 | LEMFORDER &gt;&gt; 1169402 | MONROE &gt;&gt; L40008 | BENDIX &gt;&gt; 042140B | HERTH+BUSS JAKOPARTS &gt;&gt; J4904003 | QUINTON HAZELL &gt;&gt; QSJ1090S | BORG &amp; BECK &gt;&gt; BCA5637 | KLOKKERHOLM &gt;&gt; 2907361A1 | DELPHI &gt;&gt; TC577 | DELPHI &gt;&gt; TC578 | TRISCAN &gt;&gt; 850040008 | OPTIMAL &gt;&gt; G6552 | MAPCO &gt;&gt; 59330 | MOOG &gt;&gt; HOTC10870 | SIDEM &gt;&gt; 47188 | MEYLE &gt;&gt; 31160500008 | JAPANPARTS &gt;&gt; TI481 | A.B.S. &gt;&gt; 210279 | OCAP &gt;&gt; 793333 | OCAP &gt;&gt; 0793333 | KAVO PARTS &gt;&gt; SCA2043 | BIRTH &gt;&gt; BR1536 | TRW &gt;&gt; JTC457 | TRW &gt;&gt; JTC232 | FLENNOR &gt;&gt; FL441G | 555 &gt;&gt; SA6062L | ASHIKA &gt;&gt; 11104481 | NIPPARTS &gt;&gt; J4904003 | MGA &gt;&gt; SB8491 | KSP &gt;&gt; SCA2043 | KAGER &gt;&gt; 870175 | KAWE &gt;&gt; SCA2043 | INDELDIS KX 7 &gt;&gt; SU40441 | BLUE PRINT &gt;&gt; ADH28602 | FAI &gt;&gt; SS428 | SOLID AUTO (UK) &gt;&gt; H130001 | FIRST LINE &gt;&gt; FCA5637 | NPS &gt;&gt; H420A02 | VEMA &gt;&gt; 22409 | JAPKO &gt;&gt; 111481 | QH Talbros &gt;&gt; QSJ1090S</t>
  </si>
  <si>
    <t>Wheel Brake Cylinder</t>
  </si>
  <si>
    <t>O, mm &gt;&gt; 19,1</t>
  </si>
  <si>
    <t>Fitting Position &gt;&gt; Rear Axle Left</t>
  </si>
  <si>
    <t>HONDA &gt;&gt; 433015A3681 | HONDA &gt;&gt; 43301SB2003 | HONDA &gt;&gt; 43301SA3681 | HERTH+BUSS JAKOPARTS &gt;&gt; J3234001 | METELLI &gt;&gt; 040209 | JAPANPARTS &gt;&gt; CS401 | JAPANPARTS &gt;&gt; CS403 | JAPANPARTS &gt;&gt; CS453 | ASHIKA &gt;&gt; 6704403 | ASHIKA &gt;&gt; 6704453 | CIFAM &gt;&gt; 101209 | BLUE PRINT &gt;&gt; ADH24405 | BLUE PRINT &gt;&gt; ADH24425 | NPS &gt;&gt; H323A01 | JAPKO &gt;&gt; 67453 | JAPKO &gt;&gt; 67403 | A.B.S. &gt;&gt; 2564</t>
  </si>
  <si>
    <t>Fitting Position &gt;&gt; Rear Axle Right</t>
  </si>
  <si>
    <t>HONDA &gt;&gt; 43300SA3681 | HONDA &gt;&gt; 43300SB2003 | HERTH+BUSS JAKOPARTS &gt;&gt; J3244000 | METELLI &gt;&gt; 040210 | JAPANPARTS &gt;&gt; CD400 | JAPANPARTS &gt;&gt; CS454 | ASHIKA &gt;&gt; 6504400 | ASHIKA &gt;&gt; 6904465 | ASHIKA &gt;&gt; 6704454 | CIFAM &gt;&gt; 101210 | BLUE PRINT &gt;&gt; ADH24404 | NPS &gt;&gt; H324A00 | JAPKO &gt;&gt; 67454 | JAPKO &gt;&gt; 65400 | A.B.S. &gt;&gt; 2565</t>
  </si>
  <si>
    <t>O, mm &gt;&gt; 19,1 | Weight, kg &gt;&gt; 0,234 | Quantity required,  &gt;&gt; 1</t>
  </si>
  <si>
    <t>HONDA &gt;&gt; CD400JAPANPARTS | HONDA &gt;&gt; 0986475708BOSCH | HONDA &gt;&gt; 43300SA3681 | HONDA &gt;&gt; BWD230TRW | HONDA &gt;&gt; 43300SB2003 | HONDA &gt;&gt; TF465JAPANPARTS | HONDA &gt;&gt; 2565ABS | HONDA &gt;&gt; J3244000HBJAKOPA | HONDA &gt;&gt; LW60120DELPHI | HONDA &gt;&gt; 6904465ASHIKA | HONDA &gt;&gt; 6504400ASHIKA | HONDA &gt;&gt; FHW181FERODOBERAL | HONDA &gt;&gt; FHY2411FERODOBERAL | ATE &gt;&gt; 24321911223 | VALEO &gt;&gt; 402219 | BOSCH &gt;&gt; 0986AB8145 | BOSCH &gt;&gt; 0986475708 | BOSCH &gt;&gt; 0986475706 | TEXTAR &gt;&gt; 34065200 | BENDIX &gt;&gt; 214109B | BENDIX &gt;&gt; 214109 | HERTH+BUSS JAKOPARTS &gt;&gt; J3244000 | QUINTON HAZELL &gt;&gt; BWC3072 | QUINTON HAZELL &gt;&gt; RF19102 | QUINTON HAZELL &gt;&gt; RF19100 | FERODO &gt;&gt; FHY2411 | FERODO &gt;&gt; FHW4322 | FERODO &gt;&gt; FHW181 | BREMBO &gt;&gt; A12840 | BREMBO &gt;&gt; A12129 | PEX &gt;&gt; 119196 | PEX &gt;&gt; 119188 | DELPHI &gt;&gt; LW60269 | DELPHI &gt;&gt; LW60120 | METZGER &gt;&gt; 4113500 | MAGNETI MARELLI &gt;&gt; 360219230110 | MAGNETI MARELLI &gt;&gt; 360219230104 | MAGNETI MARELLI &gt;&gt; 360219230034 | TRISCAN &gt;&gt; 813040006 | METELLI &gt;&gt; 040210 | NK &gt;&gt; 802612 | NK &gt;&gt; 802610 | OPTIMAL &gt;&gt; RZ3211 | MAPCO &gt;&gt; 2527 | JAPANPARTS &gt;&gt; TF465 | JAPANPARTS &gt;&gt; CS454 | JAPANPARTS &gt;&gt; CD400 | QH Benelux &gt;&gt; WC08207 | A.B.S. &gt;&gt; 2565 | LPR &gt;&gt; 4346 | LPR &gt;&gt; 4338 | TRUSTING &gt;&gt; CF207 | TRW &gt;&gt; BWD230 | TRW &gt;&gt; BWD229 | TRW &gt;&gt; BWD218 | AISIN &gt;&gt; AH002R | AISIN &gt;&gt; AH001R | ASHIKA &gt;&gt; 6904465 | ASHIKA &gt;&gt; 6704454 | ASHIKA &gt;&gt; 6504400 | CAR &gt;&gt; 3478 | CAR &gt;&gt; 3278 | NIPPARTS &gt;&gt; J3244000 | MGA &gt;&gt; C1309 | Brake ENGINEERING &gt;&gt; WC4338 | Brake ENGINEERING &gt;&gt; WC1235BE | Brake ENGINEERING &gt;&gt; WC1367BE | Brake ENGINEERING &gt;&gt; WC4200 | Brake ENGINEERING &gt;&gt; WC1360BE | APEC braking &gt;&gt; BCY1140 | KAGER &gt;&gt; 394328 | GIRLING &gt;&gt; 5004230 | GIRLING &gt;&gt; 5004218 | KAWE &gt;&gt; W4346 | KAWE &gt;&gt; W4338 | fri.tech. &gt;&gt; CF207 | CIFAM &gt;&gt; 101210 | MALO &gt;&gt; 90018 | MALO &gt;&gt; 90006 | VILLAR &gt;&gt; 6236152 | VILLAR &gt;&gt; 618459 | BLUE PRINT &gt;&gt; ADH24404 | SOLID AUTO (UK) &gt;&gt; H136010 | FIRST LINE &gt;&gt; FBW1548 | FIRST LINE &gt;&gt; FBW1136 | FIRST LINE &gt;&gt; FBW1134 | NPS &gt;&gt; H324A00 | ASHUKI &gt;&gt; 09720004 | IPS Parts &gt;&gt; ICR4454 | IPS Parts &gt;&gt; ICL4400 | JAPKO &gt;&gt; 69465 | JAPKO &gt;&gt; 67454 | JAPKO &gt;&gt; 65400 | QH Talbros &gt;&gt; BWC3072 | QH Talbros &gt;&gt; RF19102 | QH Talbros &gt;&gt; RF19100</t>
  </si>
  <si>
    <t>O, mm &gt;&gt; 19,1 | Weight, kg &gt;&gt; 0,224 | Quantity required,  &gt;&gt; 1</t>
  </si>
  <si>
    <t>HONDA &gt;&gt; 43301SB2003 | HONDA &gt;&gt; 0986475707BOSCH | HONDA &gt;&gt; 433015A3681 | HONDA &gt;&gt; 43301SA3681 | HONDA &gt;&gt; BWD229TRW | HONDA &gt;&gt; TF473JAPANPARTS | HONDA &gt;&gt; CS401JAPANPARTS | HONDA &gt;&gt; 2564ABS | HONDA &gt;&gt; LW60119DELPHI | HONDA &gt;&gt; 6904473ASHIKA | HONDA &gt;&gt; J3234001HBJAKOPA | HONDA &gt;&gt; 6704401ASHIKA | HONDA &gt;&gt; FHW182FERODOBERAL | ATE &gt;&gt; 24321911213 | VALEO &gt;&gt; 402218 | BOSCH &gt;&gt; 0986AB8146 | BOSCH &gt;&gt; 0986475707 | BOSCH &gt;&gt; 0986475705 | TEXTAR &gt;&gt; 34065300 | BENDIX &gt;&gt; 214115B | BENDIX &gt;&gt; 214110B | BENDIX &gt;&gt; 214110 | HERTH+BUSS JAKOPARTS &gt;&gt; J3234001 | QUINTON HAZELL &gt;&gt; BWC3071 | QUINTON HAZELL &gt;&gt; RF19101 | QUINTON HAZELL &gt;&gt; RF19099 | FERODO &gt;&gt; FHW182 | FERODO &gt;&gt; FHW4321 | BREMBO &gt;&gt; A12839 | BREMBO &gt;&gt; A12130 | PEX &gt;&gt; 119197 | PEX &gt;&gt; 119187 | DELPHI &gt;&gt; LW60268 | DELPHI &gt;&gt; LW60119 | METZGER &gt;&gt; 4113501 | MAGNETI MARELLI &gt;&gt; 360219230111 | MAGNETI MARELLI &gt;&gt; 360219230103 | MAGNETI MARELLI &gt;&gt; 360219230035 | TRISCAN &gt;&gt; 813040005 | METELLI &gt;&gt; 040209 | NK &gt;&gt; 802611 | NK &gt;&gt; 802609 | OPTIMAL &gt;&gt; BSL694 | OPTIMAL &gt;&gt; RZ3358 | OPTIMAL &gt;&gt; RZ3348 | MAPCO &gt;&gt; 2526 | JAPANPARTS &gt;&gt; CS453 | JAPANPARTS &gt;&gt; CS403 | JAPANPARTS &gt;&gt; CS401 | QH Benelux &gt;&gt; WC00100 | A.B.S. &gt;&gt; 2564 | LPR &gt;&gt; 4347 | LPR &gt;&gt; 4337 | TRUSTING &gt;&gt; CF206 | TRW &gt;&gt; BWD229 | TRW &gt;&gt; BWD217 | TRW &gt;&gt; BWD230 | AISIN &gt;&gt; AH002L | AISIN &gt;&gt; AH001L | ASHIKA &gt;&gt; 6704453 | ASHIKA &gt;&gt; 6704403 | ASHIKA &gt;&gt; 6704401 | CAR &gt;&gt; 3479 | CAR &gt;&gt; 3279 | NIPPARTS &gt;&gt; J3234001 | MGA &gt;&gt; C1308 | Brake ENGINEERING &gt;&gt; WC4337 | Brake ENGINEERING &gt;&gt; WC4201 | Brake ENGINEERING &gt;&gt; WC1368BE | Brake ENGINEERING &gt;&gt; WC1236BE | Brake ENGINEERING &gt;&gt; WC1359BE | APEC braking &gt;&gt; BCY1139 | KAGER &gt;&gt; 394121 | GIRLING &gt;&gt; 5004229 | GIRLING &gt;&gt; 5004217 | KAWE &gt;&gt; W4347 | KAWE &gt;&gt; W4337 | fri.tech. &gt;&gt; CF206 | CIFAM &gt;&gt; 101209 | MALO &gt;&gt; 90019 | MALO &gt;&gt; 90007 | VILLAR &gt;&gt; 6236153 | BLUE PRINT &gt;&gt; ADH24425 | BLUE PRINT &gt;&gt; ADH24405 | SOLID AUTO (UK) &gt;&gt; H136011 | FIRST LINE &gt;&gt; FBW1547 | FIRST LINE &gt;&gt; FBW1135 | FIRST LINE &gt;&gt; FBW1133 | STOP &gt;&gt; 214110S | NPS &gt;&gt; H323A64 | NPS &gt;&gt; H323A01 | ASHUKI &gt;&gt; 09691004 | IPS Parts &gt;&gt; ICR4401 | JAPKO &gt;&gt; 67453 | JAPKO &gt;&gt; 67403 | QH Talbros &gt;&gt; BWC3071 | QH Talbros &gt;&gt; RF19101 | QH Talbros &gt;&gt; RF19099</t>
  </si>
  <si>
    <t>O, Inch &gt;&gt; 3/4 | Piston O, mm &gt;&gt; 19,05</t>
  </si>
  <si>
    <t>HONDA &gt;&gt; 43301SB2003 | ATE &gt;&gt; 24321911213 | LUCAS ELECTRICAL &gt;&gt; BWD229 | BOSCH &gt;&gt; 0986475707 | BENDIX &gt;&gt; 214110B | HERTH+BUSS JAKOPARTS &gt;&gt; J3234001 | QUINTON HAZELL &gt;&gt; BWC3071 | PEX &gt;&gt; 119197 | PEX &gt;&gt; 119070 | DELPHI &gt;&gt; LW60119 | METZGER &gt;&gt; 101209 | TRISCAN &gt;&gt; 813040005 | TRISCAN &gt;&gt; 813040006 | METELLI &gt;&gt; 040209 | NK &gt;&gt; 804001 | NK &gt;&gt; 802611 | OPTIMAL &gt;&gt; RZ3358 | OPTIMAL &gt;&gt; RZ3213 | JAPANPARTS &gt;&gt; JCS401 | JAPANPARTS &gt;&gt; CS401 | A.B.S. &gt;&gt; 2564 | LPR &gt;&gt; 4347 | LPR &gt;&gt; 4201 | TRW &gt;&gt; BWD229 | ASHIKA &gt;&gt; 6704401 | NIPPARTS &gt;&gt; J3234001 | BLUE PRINT &gt;&gt; ADH24425 | NPS &gt;&gt; H323A64 | NPS &gt;&gt; H323A01</t>
  </si>
  <si>
    <t>HONDA &gt;&gt; 43300SB2003 | ATE &gt;&gt; 24321911223 | LUCAS ELECTRICAL &gt;&gt; BWD230 | BOSCH &gt;&gt; 0986475708 | BENDIX &gt;&gt; 214109B | HERTH+BUSS JAKOPARTS &gt;&gt; J3244000 | QUINTON HAZELL &gt;&gt; BWC3072 | PEX &gt;&gt; 119196 | METZGER &gt;&gt; 101210 | METZGER &gt;&gt; 511156 | TRISCAN &gt;&gt; 813040111 | TRISCAN &gt;&gt; 813040017 | TRISCAN &gt;&gt; 813040006 | METELLI &gt;&gt; 040210 | NK &gt;&gt; 802612 | OPTIMAL &gt;&gt; RZ3211 | MAPCO &gt;&gt; 2527 | JAPANPARTS &gt;&gt; JCD400 | JAPANPARTS &gt;&gt; CD400 | TRW &gt;&gt; BWD230 | ASHIKA &gt;&gt; 6504400 | NIPPARTS &gt;&gt; J3244000 | BLUE PRINT &gt;&gt; ADH24404 | NPS &gt;&gt; H324A00 | IPS Parts &gt;&gt; ICL4400</t>
  </si>
  <si>
    <t>TRICO</t>
  </si>
  <si>
    <t>Wiper Blade</t>
  </si>
  <si>
    <t>Fitting Position &gt;&gt; Driver side | Driver Position &gt;&gt; for left-hand drive vehicles</t>
  </si>
  <si>
    <t>Window Cleaning</t>
  </si>
  <si>
    <t>Fitting Position &gt;&gt; Passenger Side | Driver Position &gt;&gt; for right-hand drive vehicles</t>
  </si>
  <si>
    <t>Length, mm &gt;&gt; 450</t>
  </si>
  <si>
    <t>Fitting Position &gt;&gt; Passenger Side</t>
  </si>
  <si>
    <t>VALEO &gt;&gt; 574112 | VALEO &gt;&gt; 574131 | VALEO &gt;&gt; 574275 | VALEO &gt;&gt; V45X2 | VALEO &gt;&gt; V45 | VALEO &gt;&gt; 574187 | VALEO &gt;&gt; 574129 | VALEO &gt;&gt; 574174 | VALEO &gt;&gt; 574168 | VALEO &gt;&gt; C5945 | VALEO &gt;&gt; VM6 | VALEO &gt;&gt; 576109 | VALEO &gt;&gt; VM4 | VALEO &gt;&gt; VM212 | BOSCH &gt;&gt; SP18 | CHAMPION &gt;&gt; X45 | TRICO &gt;&gt; EF450 | PJ &gt;&gt; PJ128 | PJ &gt;&gt; PJ127</t>
  </si>
  <si>
    <t>Fitting Position &gt;&gt; Driver side</t>
  </si>
  <si>
    <t>VALEO &gt;&gt; 574318 | VALEO &gt;&gt; 574354 | VALEO &gt;&gt; 574385 | VALEO &gt;&gt; 574371 | VALEO &gt;&gt; VM410 | VALEO &gt;&gt; VM442 | VALEO &gt;&gt; 574323 | VALEO &gt;&gt; 574366 | VALEO &gt;&gt; VM331 | VALEO &gt;&gt; VM357 | VALEO &gt;&gt; VM325 | VALEO &gt;&gt; VM330 | VALEO &gt;&gt; 574365 | VALEO &gt;&gt; VM318 | VALEO &gt;&gt; VM324 | VALEO &gt;&gt; VM317 | CHAMPION &gt;&gt; SF45A | CHAMPION &gt;&gt; KF65F | CHAMPION &gt;&gt; KF62H | CHAMPION &gt;&gt; KF58Z | CHAMPION &gt;&gt; SF48A | TRICO &gt;&gt; NF459 | TRICO &gt;&gt; NF456 | TRICO &gt;&gt; NF4514 | TRICO &gt;&gt; NF450</t>
  </si>
  <si>
    <t>SWF &gt;&gt; 116109 | SWF &gt;&gt; 116192 | SWF &gt;&gt; 116329 | SWF &gt;&gt; 119332 | SWF &gt;&gt; 119328 | SWF &gt;&gt; 116307 | SWF &gt;&gt; 119298 | SWF &gt;&gt; 119285 | SWF &gt;&gt; 121998 | SWF &gt;&gt; 116123 | SWF &gt;&gt; 116301 | SWF &gt;&gt; 116602 | SWF &gt;&gt; 119845 | SWF &gt;&gt; 119761 | SWF &gt;&gt; 116351 | SWF &gt;&gt; 119739 | SWF &gt;&gt; 119729 | SWF &gt;&gt; 116226 | SWF &gt;&gt; 116350 | SWF &gt;&gt; 119725 | SWF &gt;&gt; 119711 | SWF &gt;&gt; 116346 | SWF &gt;&gt; 119408 | SWF &gt;&gt; 119369 | VALEO &gt;&gt; 574385 | VALEO &gt;&gt; 574371 | VALEO &gt;&gt; 574365 | VALEO &gt;&gt; 574354 | VALEO &gt;&gt; 574323 | VALEO &gt;&gt; 574318 | VALEO &gt;&gt; VM442 | VALEO &gt;&gt; VM410 | VALEO &gt;&gt; VM357 | VALEO &gt;&gt; VM331 | VALEO &gt;&gt; VM330 | VALEO &gt;&gt; VM324 | VALEO &gt;&gt; VM318 | VALEO &gt;&gt; VM317 | CHAMPION &gt;&gt; KF58Z | CHAMPION &gt;&gt; SF48A | CHAMPION &gt;&gt; SF45A | CHAMPION &gt;&gt; KF65F | CHAMPION &gt;&gt; KF62H</t>
  </si>
  <si>
    <t>SWF &gt;&gt; 116109 | SWF &gt;&gt; 116192 | SWF &gt;&gt; 116329 | SWF &gt;&gt; 119739 | SWF &gt;&gt; 119729 | SWF &gt;&gt; 116307 | SWF &gt;&gt; 119725 | SWF &gt;&gt; 119711 | SWF &gt;&gt; 116123 | SWF &gt;&gt; 116301 | SWF &gt;&gt; 116602 | SWF &gt;&gt; 116351 | SWF &gt;&gt; 116226 | SWF &gt;&gt; 116350 | SWF &gt;&gt; 121998 | SWF &gt;&gt; 116346 | SWF &gt;&gt; 119845 | SWF &gt;&gt; 119761 | VALEO &gt;&gt; V45 | VALEO &gt;&gt; C5945 | VALEO &gt;&gt; 576109 | VALEO &gt;&gt; 574275 | VALEO &gt;&gt; 574187 | VALEO &gt;&gt; 574174 | VALEO &gt;&gt; 574168 | VALEO &gt;&gt; 574131 | VALEO &gt;&gt; 574129 | VALEO &gt;&gt; 574112 | VALEO &gt;&gt; VM6 | VALEO &gt;&gt; VM4 | VALEO &gt;&gt; VM212 | VALEO &gt;&gt; V45X2 | BOSCH &gt;&gt; SP18 | CHAMPION &gt;&gt; X45 | PJ &gt;&gt; PJ128 | PJ &gt;&gt; PJ127</t>
  </si>
  <si>
    <t>Fitting Position &gt;&gt; Passenger Side | Matching Adapter &gt;&gt; D</t>
  </si>
  <si>
    <t>SWF &gt;&gt; 116109 | SWF &gt;&gt; 116192 | SWF &gt;&gt; 116329 | SWF &gt;&gt; 119332 | SWF &gt;&gt; 119328 | SWF &gt;&gt; 116307 | SWF &gt;&gt; 119298 | SWF &gt;&gt; 119285 | SWF &gt;&gt; 121998 | SWF &gt;&gt; 116123 | SWF &gt;&gt; 116301 | SWF &gt;&gt; 116602 | SWF &gt;&gt; 119845 | SWF &gt;&gt; 119761 | SWF &gt;&gt; 116351 | SWF &gt;&gt; 119739 | SWF &gt;&gt; 119729 | SWF &gt;&gt; 116226 | SWF &gt;&gt; 116350 | SWF &gt;&gt; 119725 | SWF &gt;&gt; 119711 | SWF &gt;&gt; 116346 | SWF &gt;&gt; 119408 | SWF &gt;&gt; 119369 | VALEO &gt;&gt; 574385 | VALEO &gt;&gt; 574371 | VALEO &gt;&gt; 574366 | VALEO &gt;&gt; 574365 | VALEO &gt;&gt; 574354 | VALEO &gt;&gt; 574323 | VALEO &gt;&gt; 574318 | VALEO &gt;&gt; VM442 | VALEO &gt;&gt; VM410 | VALEO &gt;&gt; VM357 | VALEO &gt;&gt; VM331 | VALEO &gt;&gt; VM330 | VALEO &gt;&gt; VM325 | VALEO &gt;&gt; VM324 | VALEO &gt;&gt; VM318 | VALEO &gt;&gt; VM317 | CHAMPION &gt;&gt; SF48A | CHAMPION &gt;&gt; SF45A | CHAMPION &gt;&gt; KF65F | CHAMPION &gt;&gt; KF62H | CHAMPION &gt;&gt; KF58Z</t>
  </si>
  <si>
    <t>SWF &gt;&gt; 119711 | SWF &gt;&gt; 119729 | SWF &gt;&gt; 119845 | SWF &gt;&gt; 119725 | SWF &gt;&gt; 119761 | SWF &gt;&gt; 119739 | VALEO &gt;&gt; 574365 | VALEO &gt;&gt; VM324</t>
  </si>
  <si>
    <t>SWF &gt;&gt; 116329 | SWF &gt;&gt; 116307 | SWF &gt;&gt; 116301 | SWF &gt;&gt; 121998 | SWF &gt;&gt; 116226 | SWF &gt;&gt; 119845 | SWF &gt;&gt; 119761 | SWF &gt;&gt; 116192 | SWF &gt;&gt; 119739 | SWF &gt;&gt; 119729 | SWF &gt;&gt; 116123 | SWF &gt;&gt; 119725 | SWF &gt;&gt; 119711 | SWF &gt;&gt; 116109 | SWF &gt;&gt; 116602 | SWF &gt;&gt; 116351 | SWF &gt;&gt; 116350 | SWF &gt;&gt; 116346 | VALEO &gt;&gt; 574131 | VALEO &gt;&gt; 574129 | VALEO &gt;&gt; 574121 | VALEO &gt;&gt; 574120 | VALEO &gt;&gt; VM6 | VALEO &gt;&gt; 574112 | VALEO &gt;&gt; VM4 | VALEO &gt;&gt; VM212 | VALEO &gt;&gt; V48S | VALEO &gt;&gt; V45X2 | VALEO &gt;&gt; V45S | VALEO &gt;&gt; V45 | VALEO &gt;&gt; C6045 | VALEO &gt;&gt; C5945 | VALEO &gt;&gt; C5845 | VALEO &gt;&gt; C5345 | VALEO &gt;&gt; C5145 | VALEO &gt;&gt; C45 | VALEO &gt;&gt; 576109 | VALEO &gt;&gt; 576101 | VALEO &gt;&gt; 576018 | VALEO &gt;&gt; 576013 | VALEO &gt;&gt; 576012 | VALEO &gt;&gt; 576004 | VALEO &gt;&gt; 574275 | VALEO &gt;&gt; 574239 | VALEO &gt;&gt; 574238 | VALEO &gt;&gt; 574187 | VALEO &gt;&gt; 574174 | VALEO &gt;&gt; 574168</t>
  </si>
  <si>
    <t>VALEO &gt;&gt; 574365 | VALEO &gt;&gt; R45 | VALEO &gt;&gt; 576073 | VALEO &gt;&gt; VM324</t>
  </si>
  <si>
    <t>Equipment Variant &gt;&gt; TYPE UB | Fitting Position &gt;&gt; Passenger Side | Fitting Position &gt;&gt; Driver side | Fitting Position &gt;&gt; Rear</t>
  </si>
  <si>
    <t>Length, mm &gt;&gt; 450 |  &gt;&gt; Piece</t>
  </si>
  <si>
    <t>Fitting Position &gt;&gt; Passenger Side | Fitting Position &gt;&gt; Driver side | Driver Position &gt;&gt; for left-hand drive vehicles</t>
  </si>
  <si>
    <t>VALEO &gt;&gt; 567941 | VALEO &gt;&gt; UM601</t>
  </si>
  <si>
    <t>Fitting Position &gt;&gt; Passenger Side | Fitting Position &gt;&gt; Driver side | Driver Position &gt;&gt; for right-hand drive vehicles</t>
  </si>
  <si>
    <t>VALEO &gt;&gt; V45 | BOSCH &gt;&gt; SP18 | CHAMPION &gt;&gt; X45 | ACDelco &gt;&gt; WB450 | TRICO &gt;&gt; EF450 | PJ &gt;&gt; PJ127</t>
  </si>
  <si>
    <t>Length, mm &gt;&gt; 450 | Equipment Vart.,  &gt;&gt; Hook Adaptor | Length, Inch &gt;&gt; 18 | Adapter enclosed,  &gt;&gt; CH19 | Adapter enclosed,  &gt;&gt; CH31 | Adapter enclosed,  &gt;&gt; CR5078 | Quantity,  &gt;&gt; 1 |  &gt;&gt; Blister Pack | Fitting Position,  &gt;&gt; Front</t>
  </si>
  <si>
    <t>SWF &gt;&gt; 116109 | SWF &gt;&gt; 116123 | SWF &gt;&gt; 116128 | SWF &gt;&gt; 116226 | VALEO &gt;&gt; 574112 | VALEO &gt;&gt; 574113 | VALEO &gt;&gt; 574129 | VALEO &gt;&gt; V45 | VALEO &gt;&gt; VM5 | VALEO &gt;&gt; VM6 | VALEO &gt;&gt; V46 | VALEO &gt;&gt; VM228 | VALEO &gt;&gt; VM4 | VALEO &gt;&gt; C6045 | VALEO &gt;&gt; 574130 | VALEO &gt;&gt; 576101 | VALEO &gt;&gt; 574131 | VALEO &gt;&gt; 574221 | BOSCH &gt;&gt; 3397110041 | BOSCH &gt;&gt; 3397001472 | BOSCH &gt;&gt; 3397010291 | BOSCH &gt;&gt; 531 | BOSCH &gt;&gt; 502 | BOSCH &gt;&gt; 3397010290 | BOSCH &gt;&gt; 481S | BOSCH &gt;&gt; 481 | BOSCH &gt;&gt; 291S | BOSCH &gt;&gt; 3397004763 | BOSCH &gt;&gt; 472 | BOSCH &gt;&gt; 3397004561 | BOSCH &gt;&gt; 450 | BOSCH &gt;&gt; SP2418S | BOSCH &gt;&gt; SP2018 | BOSCH &gt;&gt; 3397118563 | BOSCH &gt;&gt; SP18 | BOSCH &gt;&gt; H450 | BOSCH &gt;&gt; 3397118543 | BOSCH &gt;&gt; H425 | BOSCH &gt;&gt; 3397004362 | BOSCH &gt;&gt; 3397118542 | BOSCH &gt;&gt; 3397118505 | BOSCH &gt;&gt; 873 | BOSCH &gt;&gt; 3397002873 | BOSCH &gt;&gt; 837 | BOSCH &gt;&gt; 3397118452 | BOSCH &gt;&gt; 576 | BOSCH &gt;&gt; 3397118402 | BOSCH &gt;&gt; 041 | BOSCH &gt;&gt; 3397001870 | BOSCH &gt;&gt; 3397110837 | CHAMPION &gt;&gt; XS48 | CHAMPION &gt;&gt; X45SB01 | CHAMPION &gt;&gt; X45S | CHAMPION &gt;&gt; X45C01 | CHAMPION &gt;&gt; X45BU1 | CHAMPION &gt;&gt; X45B02 | CHAMPION &gt;&gt; X45B01 | CHAMPION &gt;&gt; X45 | CHAMPION &gt;&gt; A45B01 | CHAMPION &gt;&gt; A45 | TRICO &gt;&gt; EF450</t>
  </si>
  <si>
    <t>Fitting Position,  &gt;&gt; Front | Length, mm &gt;&gt; 450 | Equipment Vart.,  &gt;&gt; Vlakke bladen</t>
  </si>
  <si>
    <t>SWF &gt;&gt; 119845 | BOSCH &gt;&gt; 3397008565 | CHAMPION &gt;&gt; DXL45 | CHAMPION &gt;&gt; RXU45B01 | CHAMPION &gt;&gt; RXU45 | CHAMPION &gt;&gt; DXL45B01</t>
  </si>
  <si>
    <t>Fitting Position,  &gt;&gt; Front | Length, mm &gt;&gt; 450 | Length, Inch &gt;&gt; 18</t>
  </si>
  <si>
    <t>BMW &gt;&gt; 61619069195 | CHRYSLER &gt;&gt; 68194930AA | FORD &gt;&gt; 84AU17528B | FORD &gt;&gt; A780X17528AJA | FORD &gt;&gt; XM3417528FA | FORD &gt;&gt; XM3417528HA | MAZDA &gt;&gt; KD5367330 | MAZDA &gt;&gt; NA1267330 | MAZDA &gt;&gt; NA1367330 | MAZDA &gt;&gt; B09567330 | MAZDA &gt;&gt; FE1567330A | MAZDA &gt;&gt; G04467330 | MAZDA &gt;&gt; GB9367330 | MAZDA &gt;&gt; BE5J67330 | MAZDA &gt;&gt; BE8T67330 | MAZDA &gt;&gt; BJ0F67330 | MAZDA &gt;&gt; BHS367330 | MAZDA &gt;&gt; 8FG267330A | MITSUBISHI &gt;&gt; MR300879 | MITSUBISHI &gt;&gt; MZ690098 | MITSUBISHI &gt;&gt; MR416668 | MITSUBISHI &gt;&gt; MB382532 | MITSUBISHI &gt;&gt; MB622213 | MITSUBISHI &gt;&gt; MB622214 | MITSUBISHI &gt;&gt; MN181423 | MITSUBISHI &gt;&gt; 8250A186 | MITSUBISHI &gt;&gt; 8250A375 | NISSAN &gt;&gt; 28890AU311 | NISSAN &gt;&gt; 28890JR81A | NISSAN &gt;&gt; AY00JUAF5R | NISSAN &gt;&gt; 28890AX610 | NISSAN &gt;&gt; 28890AM615 | OPEL &gt;&gt; 1272033 | OPEL &gt;&gt; 1272346 | OPEL &gt;&gt; 1272788 | OPEL &gt;&gt; 1272337 | OPEL &gt;&gt; 1272038 | SUBARU &gt;&gt; 86542SC160 | SUBARU &gt;&gt; 86542AG160 | SUBARU &gt;&gt; 86542SC150 | SUZUKI &gt;&gt; 3834070B10000 | SUZUKI &gt;&gt; 3834070B10 | SUZUKI &gt;&gt; 3834065B00000 | SUZUKI &gt;&gt; 3834065B00 | SUZUKI &gt;&gt; 3834060B20 | SUZUKI &gt;&gt; 3834060B20000 | SUZUKI &gt;&gt; 3834060B00 | SUZUKI &gt;&gt; 3834060B00000 | TOYOTA &gt;&gt; 8522230590 | TOYOTA &gt;&gt; 8521210140 | TOYOTA &gt;&gt; 8522210230 | TOYOTA &gt;&gt; 8522210240 | TOYOTA &gt;&gt; 8521274010 | TOYOTA &gt;&gt; 8521210130 | VOLVO &gt;&gt; 3343022 | VOLVO &gt;&gt; 3297732 | VOLVO &gt;&gt; 3201897 | HYUNDAI &gt;&gt; 983602C000 | HYUNDAI &gt;&gt; 983602H000 | HYUNDAI &gt;&gt; 9835028000 | HYUNDAI &gt;&gt; 9836022020 | HYUNDAI &gt;&gt; 983602B000 | HYUNDAI &gt;&gt; 9835028920 | HYUNDAI &gt;&gt; 9835024510 | KIA &gt;&gt; 983602H000 | KIA &gt;&gt; 983602C000 | KIA &gt;&gt; 983602B000 | KIA &gt;&gt; 9836022020 | KIA &gt;&gt; 9835028920 | KIA &gt;&gt; 9835028000 | KIA &gt;&gt; 9835024510 | VAG &gt;&gt; KS95545053 | ALFAROME/FIAT/LANCI &gt;&gt; 5911650 | GENERAL MOTORS &gt;&gt; 25882578 | GENERAL MOTORS &gt;&gt; 13277083 | GENERAL MOTORS &gt;&gt; 96910780 | GENERAL MOTORS &gt;&gt; 95161606 | GENERAL MOTORS &gt;&gt; 96341429 | GENERAL MOTORS &gt;&gt; 13227405 | GENERAL MOTORS &gt;&gt; 93178169 | GENERAL MOTORS &gt;&gt; 7835005000 | GENERAL MOTORS &gt;&gt; 7836005000 | CITROEN/PEUGEOT &gt;&gt; 6426CE | CITROEN/PEUGEOT &gt;&gt; 6426SP | SMART &gt;&gt; 0014885V002 | HELLA &gt;&gt; 9XW864083801 | HELLA &gt;&gt; 9XW168963801 | HELLA &gt;&gt; 9XW858790801 | HELLA &gt;&gt; 9XW168958801 | HELLA &gt;&gt; 864076801 | HELLA &gt;&gt; WB19 | SWF &gt;&gt; 116602 | SWF &gt;&gt; 103433 | SWF &gt;&gt; 116125 | SWF &gt;&gt; 119845 | SWF &gt;&gt; 119761 | SWF &gt;&gt; 116350 | SWF &gt;&gt; 119739 | SWF &gt;&gt; 116346 | SWF &gt;&gt; 119729 | SWF &gt;&gt; 119725 | SWF &gt;&gt; 118206 | SWF &gt;&gt; 116329 | SWF &gt;&gt; 116123 | SWF &gt;&gt; 118107 | SWF &gt;&gt; 118101 | SWF &gt;&gt; 116307 | SWF &gt;&gt; 118095 | SWF &gt;&gt; 116301 | SWF &gt;&gt; 116109 | SWF &gt;&gt; 117602 | SWF &gt;&gt; 117307 | SWF &gt;&gt; 117301 | SWF &gt;&gt; 116226 | SWF &gt;&gt; 117230 | SWF &gt;&gt; 117223 | SWF &gt;&gt; 105128 | SWF &gt;&gt; 116650 | SWF &gt;&gt; 116128 | VALEO &gt;&gt; 576083 | VALEO &gt;&gt; 576101 | VALEO &gt;&gt; 576073 | VALEO &gt;&gt; R45 | VALEO &gt;&gt; 575793 | VALEO &gt;&gt; 575545 | VALEO &gt;&gt; 574286 | VALEO &gt;&gt; 574131 | VALEO &gt;&gt; 574129 | VALEO &gt;&gt; 574112 | VALEO &gt;&gt; 567981 | VALEO &gt;&gt; 567793 | VALEO &gt;&gt; 567941 | VALEO &gt;&gt; 567791 | VALEO &gt;&gt; 567771 | VALEO &gt;&gt; C6045 | VALEO &gt;&gt; C45 | VALEO &gt;&gt; VM6 | VALEO &gt;&gt; VM4 | VALEO &gt;&gt; VFAM45 | VALEO &gt;&gt; VM224 | VALEO &gt;&gt; VF45 | VALEO &gt;&gt; V48S | VALEO &gt;&gt; V452 | VALEO &gt;&gt; V45S | VALEO &gt;&gt; V45 | VALEO &gt;&gt; UM621 | VALEO &gt;&gt; UM6 | VALEO &gt;&gt; UM601 | VALEO &gt;&gt; UM203 | VALEO &gt;&gt; UM4 | VALEO &gt;&gt; U45S | VALEO &gt;&gt; U48S | VALEO &gt;&gt; U45 | BOSCH &gt;&gt; 3397007164 | BOSCH &gt;&gt; 3397007034 | BOSCH &gt;&gt; 604S | BOSCH &gt;&gt; 3397004763 | BOSCH &gt;&gt; 3397004581 | BOSCH &gt;&gt; 3397002873 | BOSCH &gt;&gt; 3397001803 | BOSCH &gt;&gt; 3397001489 | BOSCH &gt;&gt; 3397001472 | BOSCH &gt;&gt; 3397001371 | BOSCH &gt;&gt; H450 | BOSCH &gt;&gt; 3397001369 | BOSCH &gt;&gt; 3397001368 | BOSCH &gt;&gt; 531 | BOSCH &gt;&gt; 509 | BOSCH &gt;&gt; 3397001342 | BOSCH &gt;&gt; 502S | BOSCH &gt;&gt; 502 | BOSCH &gt;&gt; 3397001269 | BOSCH &gt;&gt; 481S | BOSCH &gt;&gt; 481 | BOSCH &gt;&gt; 3397001268 | BOSCH &gt;&gt; 472 | BOSCH &gt;&gt; 46S | BOSCH &gt;&gt; 450U | BOSCH &gt;&gt; 450 | BOSCH &gt;&gt; AR813S | BOSCH &gt;&gt; AR604S | BOSCH &gt;&gt; 34S | BOSCH &gt;&gt; AR531S | BOSCH &gt;&gt; AR502S | BOSCH &gt;&gt; 342S | BOSCH &gt;&gt; AR450S | BOSCH &gt;&gt; AR18U | BOSCH &gt;&gt; 342 | BOSCH &gt;&gt; 3397118995 | BOSCH &gt;&gt; 269S | BOSCH &gt;&gt; 3397118994 | BOSCH &gt;&gt; 3397118912 | BOSCH &gt;&gt; 3397118908 | BOSCH &gt;&gt; 269 | BOSCH &gt;&gt; 3397118901 | BOSCH &gt;&gt; 3397118564 | BOSCH &gt;&gt; 3397118563 | BOSCH &gt;&gt; 268S | BOSCH &gt;&gt; 3397118543 | BOSCH &gt;&gt; 3397118542 | BOSCH &gt;&gt; 268 | BOSCH &gt;&gt; 3397118506 | BOSCH &gt;&gt; 3397118505 | BOSCH &gt;&gt; 3397118403 | BOSCH &gt;&gt; 3397118402 | BOSCH &gt;&gt; 3397118303 | BOSCH &gt;&gt; 3397110837 | BOSCH &gt;&gt; 873 | BOSCH &gt;&gt; 3397110821 | BOSCH &gt;&gt; 3397110509 | BOSCH &gt;&gt; 3397110094 | BOSCH &gt;&gt; 3397110066 | BOSCH &gt;&gt; 3397010097 | BOSCH &gt;&gt; 837 | BOSCH &gt;&gt; 3397008532 | BOSCH &gt;&gt; 3397007226 | BOSCH &gt;&gt; 803 | BOSCH &gt;&gt; 3397007210 | CHAMPION &gt;&gt; SK60F | CHAMPION &gt;&gt; SK55DC02 | CHAMPION &gt;&gt; SK55DB02 | CHAMPION &gt;&gt; SK55D | CHAMPION &gt;&gt; SK53CC02 | CHAMPION &gt;&gt; SK53CB02 | CHAMPION &gt;&gt; SK53C | CHAMPION &gt;&gt; SK51BC02 | CHAMPION &gt;&gt; SK51BB02 | CHAMPION &gt;&gt; SK51B | CHAMPION &gt;&gt; SK45MC02 | CHAMPION &gt;&gt; SK45M | CHAMPION &gt;&gt; SK45C02 | CHAMPION &gt;&gt; SK45 | CHAMPION &gt;&gt; RXU45B01 | CHAMPION &gt;&gt; RXU45 | CHAMPION &gt;&gt; K65GC02 | CHAMPION &gt;&gt; K65G | CHAMPION &gt;&gt; K58EC02 | CHAMPION &gt;&gt; K58EB02 | CHAMPION &gt;&gt; EU45C01 | CHAMPION &gt;&gt; EU45 | CHAMPION &gt;&gt; ER45B01 | CHAMPION &gt;&gt; ER45 | CHAMPION &gt;&gt; E45B02 | CHAMPION &gt;&gt; E45B01 | CHAMPION &gt;&gt; E45 | CHAMPION &gt;&gt; AW45B01 | CHAMPION &gt;&gt; AW45 | CHAMPION &gt;&gt; AS5545B02 | CHAMPION &gt;&gt; AS5345B02 | CHAMPION &gt;&gt; AS5145B02 | CHAMPION &gt;&gt; AS45B01 | CHAMPION &gt;&gt; AS4548B02 | CHAMPION &gt;&gt; AS4545B02 | CHAMPION &gt;&gt; AS45 | CHAMPION &gt;&gt; AHR45B01 | CHAMPION &gt;&gt; AHR45 | CHAMPION &gt;&gt; AHL45B01 | CHAMPION &gt;&gt; AHL45 | CHAMPION &gt;&gt; A45B01 | CHAMPION &gt;&gt; A45 | CHAMPION &gt;&gt; X45EB02 | CHAMPION &gt;&gt; X45EB01 | CHAMPION &gt;&gt; X45C02 | CHAMPION &gt;&gt; X45E | CHAMPION &gt;&gt; X45C01 | CHAMPION &gt;&gt; X45B02 | CHAMPION &gt;&gt; X45B01 | CHAMPION &gt;&gt; X45 | CHAMPION &gt;&gt; WX45B01 | CHAMPION &gt;&gt; WX45 | CHAMPION &gt;&gt; SX45B01 | CHAMPION &gt;&gt; SX45 | CHAMPION &gt;&gt; SK65FC02 | CHAMPION &gt;&gt; SK65F | CHAMPION &gt;&gt; SK60FC02 | DENSO &gt;&gt; DU045R | DENSO &gt;&gt; DU045L | DENSO &gt;&gt; DMC045 | DENSO &gt;&gt; DM045 | DENSO &gt;&gt; DFR002 | NWB &gt;&gt; NU018L | NWB &gt;&gt; EU518 | TRICO &gt;&gt; NF450 | TRICO &gt;&gt; HF450 | TRICO &gt;&gt; FISTER18 | TRICO &gt;&gt; ES450R | TRICO &gt;&gt; ES450L | TRICO &gt;&gt; ES450 | TRICO &gt;&gt; EF450 | TRICO &gt;&gt; WB450 | TRICO &gt;&gt; TT450 | TRICO &gt;&gt; T450 | PJ &gt;&gt; 041845</t>
  </si>
  <si>
    <t>Length, mm &gt;&gt; 450 | Length, Inch &gt;&gt; 18</t>
  </si>
  <si>
    <t>BMW &gt;&gt; 61619069195 | CHRYSLER &gt;&gt; 68194930AA | FORD &gt;&gt; A780X17528AJA | FORD &gt;&gt; 84AU17528B | FORD &gt;&gt; XM3417528FA | FORD &gt;&gt; XM3417528HA | MAZDA &gt;&gt; B09567330 | MAZDA &gt;&gt; FE1567330A | MAZDA &gt;&gt; GB9367330 | MAZDA &gt;&gt; KD5367330 | MAZDA &gt;&gt; G04467330 | MAZDA &gt;&gt; BE5J67330 | MAZDA &gt;&gt; BE8T67330 | MAZDA &gt;&gt; BJ0F67330 | MAZDA &gt;&gt; BHS367330 | MAZDA &gt;&gt; 8FG267330A | MAZDA &gt;&gt; NA1267330 | MAZDA &gt;&gt; NA1367330 | MITSUBISHI &gt;&gt; MB382532 | MITSUBISHI &gt;&gt; MN181423 | MITSUBISHI &gt;&gt; MR416668 | MITSUBISHI &gt;&gt; MZ690098 | MITSUBISHI &gt;&gt; MR300879 | MITSUBISHI &gt;&gt; MB622213 | MITSUBISHI &gt;&gt; MB622214 | MITSUBISHI &gt;&gt; 8250A186 | MITSUBISHI &gt;&gt; 8250A375 | NISSAN &gt;&gt; AY00JUAF5R | NISSAN &gt;&gt; 28890AU311 | NISSAN &gt;&gt; 28890JR81A | NISSAN &gt;&gt; 28890AX610 | NISSAN &gt;&gt; 28890AM615 | OPEL &gt;&gt; 1272788 | OPEL &gt;&gt; 1272346 | OPEL &gt;&gt; 1272337 | OPEL &gt;&gt; 1272330 | OPEL &gt;&gt; 1272038 | OPEL &gt;&gt; 1272326 | OPEL &gt;&gt; 6272280 | OPEL &gt;&gt; 6272302 | OPEL &gt;&gt; 6272303 | OPEL &gt;&gt; 6272294 | OPEL &gt;&gt; 1272033 | OPEL &gt;&gt; 6272279 | SUBARU &gt;&gt; 86542AG160 | SUBARU &gt;&gt; 86542SC160 | SUZUKI &gt;&gt; 3834070B10000 | SUZUKI &gt;&gt; 3834065B00000 | SUZUKI &gt;&gt; 3834070B10 | SUZUKI &gt;&gt; 3834060B20000 | SUZUKI &gt;&gt; 3834065B00 | SUZUKI &gt;&gt; 3834060B00000 | SUZUKI &gt;&gt; 3834060B20 | SUZUKI &gt;&gt; 3834060B00 | TOYOTA &gt;&gt; 8522210240 | TOYOTA &gt;&gt; 8521274010 | TOYOTA &gt;&gt; 8522210230 | TOYOTA &gt;&gt; 8521210130 | TOYOTA &gt;&gt; 8521210140 | VOLVO &gt;&gt; 3343022 | VOLVO &gt;&gt; 3297732 | VOLVO &gt;&gt; 3201897 | HYUNDAI &gt;&gt; 983602H000 | HYUNDAI &gt;&gt; 9835024510 | HYUNDAI &gt;&gt; 9835028920 | HYUNDAI &gt;&gt; 983602B000 | HYUNDAI &gt;&gt; 983602C000 | HYUNDAI &gt;&gt; 9836022020 | HYUNDAI &gt;&gt; 9835028000 | KIA &gt;&gt; 983602H000 | KIA &gt;&gt; 983602C000 | KIA &gt;&gt; 983602B000 | KIA &gt;&gt; 9836022020 | KIA &gt;&gt; 9835028920 | KIA &gt;&gt; 9835024510 | KIA &gt;&gt; 9835028000 | VAG &gt;&gt; KS95545053 | ALFAROME/FIAT/LANCI &gt;&gt; 5911650 | GENERAL MOTORS &gt;&gt; 25882578 | GENERAL MOTORS &gt;&gt; 13277083 | GENERAL MOTORS &gt;&gt; 13227405 | GENERAL MOTORS &gt;&gt; 96341429 | GENERAL MOTORS &gt;&gt; 96910780 | GENERAL MOTORS &gt;&gt; 93178169 | GENERAL MOTORS &gt;&gt; 95161606 | GENERAL MOTORS &gt;&gt; 7836005000 | GENERAL MOTORS &gt;&gt; 7835005000 | CITROEN/PEUGEOT &gt;&gt; 6426CE | CITROEN/PEUGEOT &gt;&gt; 6426SP | SMART &gt;&gt; 0014885V002 | SMART &gt;&gt; Q0014885V002 | HELLA &gt;&gt; 9XW858790801 | HELLA &gt;&gt; 9XW864083801 | HELLA &gt;&gt; 9XW168958801 | HELLA &gt;&gt; 9XW168963801 | HELLA &gt;&gt; 864076801 | HELLA &gt;&gt; WB19 | SWF &gt;&gt; 119761 | SWF &gt;&gt; 116602 | SWF &gt;&gt; 119739 | SWF &gt;&gt; 116125 | SWF &gt;&gt; 116350 | SWF &gt;&gt; 119729 | SWF &gt;&gt; 119725 | SWF &gt;&gt; 119369 | SWF &gt;&gt; 116123 | SWF &gt;&gt; 116346 | SWF &gt;&gt; 103433 | SWF &gt;&gt; 119328 | SWF &gt;&gt; 118206 | SWF &gt;&gt; 116329 | SWF &gt;&gt; 118107 | SWF &gt;&gt; 116109 | SWF &gt;&gt; 116307 | SWF &gt;&gt; 118101 | SWF &gt;&gt; 118095 | SWF &gt;&gt; 117602 | SWF &gt;&gt; 117307 | SWF &gt;&gt; 116301 | SWF &gt;&gt; 117301 | SWF &gt;&gt; 117230 | SWF &gt;&gt; 116226 | SWF &gt;&gt; 117223 | SWF &gt;&gt; 105128 | SWF &gt;&gt; 116650 | SWF &gt;&gt; 116128 | SWF &gt;&gt; 119845 | VALEO &gt;&gt; 575793 | VALEO &gt;&gt; 575545 | VALEO &gt;&gt; 574371 | VALEO &gt;&gt; 574354 | VALEO &gt;&gt; 574286 | VALEO &gt;&gt; 574131 | VALEO &gt;&gt; 574129 | VALEO &gt;&gt; 574112 | VALEO &gt;&gt; 567981 | VALEO &gt;&gt; 567941 | VALEO &gt;&gt; 567791 | VALEO &gt;&gt; 567793 | VALEO &gt;&gt; 567771 | VALEO &gt;&gt; C6045 | VALEO &gt;&gt; CF5545 | VALEO &gt;&gt; C45 | VALEO &gt;&gt; VM6 | VALEO &gt;&gt; VM4 | VALEO &gt;&gt; VM357 | VALEO &gt;&gt; VM224 | VALEO &gt;&gt; VM317 | VALEO &gt;&gt; VF45 | VALEO &gt;&gt; VFAM45 | VALEO &gt;&gt; V45S | VALEO &gt;&gt; V48S | VALEO &gt;&gt; V452 | VALEO &gt;&gt; V45 | VALEO &gt;&gt; UM601 | VALEO &gt;&gt; UM621 | VALEO &gt;&gt; UM4 | VALEO &gt;&gt; UM6 | VALEO &gt;&gt; U48S | VALEO &gt;&gt; UM203 | VALEO &gt;&gt; U45S | VALEO &gt;&gt; U45 | VALEO &gt;&gt; 576101 | VALEO &gt;&gt; 576112 | VALEO &gt;&gt; R45 | VALEO &gt;&gt; 576083 | VALEO &gt;&gt; 576073 | BOSCH &gt;&gt; 3397002873 | BOSCH &gt;&gt; 3397001803 | BOSCH &gt;&gt; 3397001489 | BOSCH &gt;&gt; H450 | BOSCH &gt;&gt; 3397001472 | BOSCH &gt;&gt; 3397001371 | BOSCH &gt;&gt; 3397001369 | BOSCH &gt;&gt; 3397001368 | BOSCH &gt;&gt; 531 | BOSCH &gt;&gt; 3397001342 | BOSCH &gt;&gt; 509 | BOSCH &gt;&gt; 502S | BOSCH &gt;&gt; 3397001269 | BOSCH &gt;&gt; 502 | BOSCH &gt;&gt; 481S | BOSCH &gt;&gt; 481 | BOSCH &gt;&gt; 3397001268 | BOSCH &gt;&gt; 472 | BOSCH &gt;&gt; 46S | BOSCH &gt;&gt; 450U | BOSCH &gt;&gt; 450 | BOSCH &gt;&gt; AR813S | BOSCH &gt;&gt; AR604S | BOSCH &gt;&gt; AR531S | BOSCH &gt;&gt; AR502S | BOSCH &gt;&gt; AR450S | BOSCH &gt;&gt; AR18U | BOSCH &gt;&gt; 34S | BOSCH &gt;&gt; 342S | BOSCH &gt;&gt; 342 | BOSCH &gt;&gt; 269S | BOSCH &gt;&gt; A931S | BOSCH &gt;&gt; 3397118995 | BOSCH &gt;&gt; 3397118994 | BOSCH &gt;&gt; 3397118931 | BOSCH &gt;&gt; A096S | BOSCH &gt;&gt; A084S | BOSCH &gt;&gt; 269 | BOSCH &gt;&gt; 3397118912 | BOSCH &gt;&gt; 3397118908 | BOSCH &gt;&gt; 268S | BOSCH &gt;&gt; 3397118901 | BOSCH &gt;&gt; 3397118564 | BOSCH &gt;&gt; 268 | BOSCH &gt;&gt; 3397118563 | BOSCH &gt;&gt; 3397118543 | BOSCH &gt;&gt; 3397118542 | BOSCH &gt;&gt; 3397118506 | BOSCH &gt;&gt; 3397118505 | BOSCH &gt;&gt; 3397118403 | BOSCH &gt;&gt; 3397118402 | BOSCH &gt;&gt; 3397118303 | BOSCH &gt;&gt; 873 | BOSCH &gt;&gt; 3397110837 | BOSCH &gt;&gt; 3397110821 | BOSCH &gt;&gt; 3397110509 | BOSCH &gt;&gt; 3397110094 | BOSCH &gt;&gt; 3397110066 | BOSCH &gt;&gt; 837 | BOSCH &gt;&gt; 3397010097 | BOSCH &gt;&gt; 803 | BOSCH &gt;&gt; 3397008532 | BOSCH &gt;&gt; 3397007226 | BOSCH &gt;&gt; 3397007210 | BOSCH &gt;&gt; 3397007164 | BOSCH &gt;&gt; 3397007096 | BOSCH &gt;&gt; 3397007084 | BOSCH &gt;&gt; 604S | BOSCH &gt;&gt; 3397007034 | BOSCH &gt;&gt; 3397004763 | BOSCH &gt;&gt; 3397004581 | CHAMPION &gt;&gt; K65GC02 | CHAMPION &gt;&gt; K65G | CHAMPION &gt;&gt; K58EC02 | CHAMPION &gt;&gt; K58EB02 | CHAMPION &gt;&gt; EU45C01 | CHAMPION &gt;&gt; EU45 | CHAMPION &gt;&gt; ER45B01 | CHAMPION &gt;&gt; ER45 | CHAMPION &gt;&gt; E45B02 | CHAMPION &gt;&gt; E45B01 | CHAMPION &gt;&gt; E45 | CHAMPION &gt;&gt; AW45B01 | CHAMPION &gt;&gt; AW45 | CHAMPION &gt;&gt; AS5545B02 | CHAMPION &gt;&gt; AS5345B02 | CHAMPION &gt;&gt; AS5145B02 | CHAMPION &gt;&gt; AS45B01 | CHAMPION &gt;&gt; AS4548B02 | CHAMPION &gt;&gt; AS4545B02 | CHAMPION &gt;&gt; AS45 | CHAMPION &gt;&gt; AHR45B01 | CHAMPION &gt;&gt; AHR45 | CHAMPION &gt;&gt; AHL45B01 | CHAMPION &gt;&gt; AHL45 | CHAMPION &gt;&gt; AFR5845EC02 | CHAMPION &gt;&gt; AFR5545EC02 | CHAMPION &gt;&gt; AFL5845EC02 | CHAMPION &gt;&gt; AFL5545EC02 | CHAMPION &gt;&gt; A45B01 | CHAMPION &gt;&gt; A45 | CHAMPION &gt;&gt; X45EB02 | CHAMPION &gt;&gt; X45EB01 | CHAMPION &gt;&gt; X45E | CHAMPION &gt;&gt; X45C02 | CHAMPION &gt;&gt; X45C01 | CHAMPION &gt;&gt; X45B02 | CHAMPION &gt;&gt; X45B01 | CHAMPION &gt;&gt; X45 | CHAMPION &gt;&gt; WX45B01 | CHAMPION &gt;&gt; WX45 | CHAMPION &gt;&gt; SX45B01 | CHAMPION &gt;&gt; SX45 | CHAMPION &gt;&gt; SK65FC02 | CHAMPION &gt;&gt; SK65F | CHAMPION &gt;&gt; SK60FC02 | CHAMPION &gt;&gt; SK60F | CHAMPION &gt;&gt; SK55DC02 | CHAMPION &gt;&gt; SK55DB02 | CHAMPION &gt;&gt; SK55D | CHAMPION &gt;&gt; SK53CC02 | CHAMPION &gt;&gt; SK53CB02 | CHAMPION &gt;&gt; SK53C | CHAMPION &gt;&gt; SK51BC02 | CHAMPION &gt;&gt; SK51BB02 | CHAMPION &gt;&gt; SK51B | CHAMPION &gt;&gt; SK45MC02 | CHAMPION &gt;&gt; SK45M | CHAMPION &gt;&gt; SK45C02 | CHAMPION &gt;&gt; SK45 | CHAMPION &gt;&gt; RXU45B01 | CHAMPION &gt;&gt; RXU45 | DENSO &gt;&gt; DU045L | DENSO &gt;&gt; DMC045 | DENSO &gt;&gt; DM045 | DENSO &gt;&gt; DFR002 | DENSO &gt;&gt; DF110 | NWB &gt;&gt; EU518 | NWB &gt;&gt; NU018L | TRICO &gt;&gt; HF450 | TRICO &gt;&gt; FISTER18 | TRICO &gt;&gt; ES450R | TRICO &gt;&gt; ES450L | TRICO &gt;&gt; ES450 | TRICO &gt;&gt; EF450 | TRICO &gt;&gt; WB450 | TRICO &gt;&gt; TT450 | TRICO &gt;&gt; T450 | TRICO &gt;&gt; NF456 | TRICO &gt;&gt; NF450 | PJ &gt;&gt; 041845</t>
  </si>
  <si>
    <t>Length, mm &gt;&gt; 450 | Length, Inch &gt;&gt; 18 | Fitting Position,  &gt;&gt; Front</t>
  </si>
  <si>
    <t>BMW &gt;&gt; 61619069195 | CHRYSLER &gt;&gt; 68194930AA | FORD &gt;&gt; XM3417528FA | FORD &gt;&gt; XM3417528HA | FORD &gt;&gt; A780X17528AJA | FORD &gt;&gt; 84AU17528B | MAZDA &gt;&gt; 8FG267330A | MAZDA &gt;&gt; NA1267330 | MAZDA &gt;&gt; NA1367330 | MAZDA &gt;&gt; B09567330 | MAZDA &gt;&gt; FE1567330A | MAZDA &gt;&gt; KD5367330 | MAZDA &gt;&gt; G04467330 | MAZDA &gt;&gt; GB9367330 | MAZDA &gt;&gt; BE5J67330 | MAZDA &gt;&gt; BE8T67330 | MAZDA &gt;&gt; BHS367330 | MAZDA &gt;&gt; BJ0F67330 | MITSUBISHI &gt;&gt; 8250A186 | MITSUBISHI &gt;&gt; 8250A375 | MITSUBISHI &gt;&gt; MR300879 | MITSUBISHI &gt;&gt; MR416668 | MITSUBISHI &gt;&gt; MZ690098 | MITSUBISHI &gt;&gt; MB382532 | MITSUBISHI &gt;&gt; MB622213 | MITSUBISHI &gt;&gt; MB622214 | MITSUBISHI &gt;&gt; MN181423 | NISSAN &gt;&gt; 28890AX610 | NISSAN &gt;&gt; 28890JR81A | NISSAN &gt;&gt; 28890AM615 | NISSAN &gt;&gt; 28890AU311 | NISSAN &gt;&gt; AY00JUAF5R | OPEL &gt;&gt; 1272788 | OPEL &gt;&gt; 1272346 | OPEL &gt;&gt; 6272303 | OPEL &gt;&gt; 6272302 | OPEL &gt;&gt; 1272337 | OPEL &gt;&gt; 6272294 | OPEL &gt;&gt; 1272330 | OPEL &gt;&gt; 6272280 | OPEL &gt;&gt; 6272255 | OPEL &gt;&gt; 6272279 | OPEL &gt;&gt; 1272326 | OPEL &gt;&gt; 1272038 | OPEL &gt;&gt; 1272033 | SUBARU &gt;&gt; 86542AG160 | SUBARU &gt;&gt; 86542SC150 | SUBARU &gt;&gt; 86542SC160 | SUZUKI &gt;&gt; 3834060B00000 | SUZUKI &gt;&gt; 3834060B20 | SUZUKI &gt;&gt; 3834065B00000 | SUZUKI &gt;&gt; 3834070B10000 | SUZUKI &gt;&gt; 3834070B10 | SUZUKI &gt;&gt; 3834060B20000 | SUZUKI &gt;&gt; 3834065B00 | SUZUKI &gt;&gt; 3834060B00 | TOYOTA &gt;&gt; 8522210230 | TOYOTA &gt;&gt; 8522230590 | TOYOTA &gt;&gt; 8522210240 | TOYOTA &gt;&gt; 8521210130 | TOYOTA &gt;&gt; 8521210140 | TOYOTA &gt;&gt; 8521274010 | VOLVO &gt;&gt; 3343022 | VOLVO &gt;&gt; 3297732 | VOLVO &gt;&gt; 3201897 | HYUNDAI &gt;&gt; 983603J003 | HYUNDAI &gt;&gt; 9835024510 | HYUNDAI &gt;&gt; 983602B000 | HYUNDAI &gt;&gt; 983602H000 | HYUNDAI &gt;&gt; 983602L000 | HYUNDAI &gt;&gt; 983602C000 | HYUNDAI &gt;&gt; 9835028000 | HYUNDAI &gt;&gt; 9835028920 | HYUNDAI &gt;&gt; 9836022020 | KIA &gt;&gt; 983603J003 | KIA &gt;&gt; 983602L000 | KIA &gt;&gt; 983602H000 | KIA &gt;&gt; 983602C000 | KIA &gt;&gt; 983602B000 | KIA &gt;&gt; 9836022020 | KIA &gt;&gt; 9835028920 | KIA &gt;&gt; 9835028000 | KIA &gt;&gt; 9835024510 | VAG &gt;&gt; 3T1998001 | VAG &gt;&gt; 2K0998002A | VAG &gt;&gt; 1T1998002 | VAG &gt;&gt; 8V1955425 | VAG &gt;&gt; 8V1955426 | VAG &gt;&gt; 1J0998002A | VAG &gt;&gt; 7M3998002A | VAG &gt;&gt; KS95545053 | VAG &gt;&gt; 5G1998002 | VAG &gt;&gt; 5G1998002A | ALFAROME/FIAT/LANCI &gt;&gt; 5911650 | GENERAL MOTORS &gt;&gt; 96910780 | GENERAL MOTORS &gt;&gt; 25882578 | GENERAL MOTORS &gt;&gt; 95161606 | GENERAL MOTORS &gt;&gt; 96341429 | GENERAL MOTORS &gt;&gt; 93178169 | GENERAL MOTORS &gt;&gt; 93187384 | GENERAL MOTORS &gt;&gt; 93171135 | GENERAL MOTORS &gt;&gt; 13277083 | GENERAL MOTORS &gt;&gt; 13227405 | GENERAL MOTORS &gt;&gt; 7836005000 | GENERAL MOTORS &gt;&gt; 7835005000 | CITROEN/PEUGEOT &gt;&gt; 6426CE | CITROEN/PEUGEOT &gt;&gt; 6426SP | SMART &gt;&gt; 0014885V002 | HELLA &gt;&gt; 9XW864083801 | HELLA &gt;&gt; 9XW168963801 | HELLA &gt;&gt; 9XW858790801 | HELLA &gt;&gt; 9XW168958801 | HELLA &gt;&gt; WB19 | HELLA &gt;&gt; 864076801 | SWF &gt;&gt; 116602 | SWF &gt;&gt; 119725 | SWF &gt;&gt; 119408 | SWF &gt;&gt; 119369 | SWF &gt;&gt; 116125 | SWF &gt;&gt; 119332 | SWF &gt;&gt; 116350 | SWF &gt;&gt; 119328 | SWF &gt;&gt; 116346 | SWF &gt;&gt; 119298 | SWF &gt;&gt; 118206 | SWF &gt;&gt; 103433 | SWF &gt;&gt; 118107 | SWF &gt;&gt; 116123 | SWF &gt;&gt; 116329 | SWF &gt;&gt; 116307 | SWF &gt;&gt; 118101 | SWF &gt;&gt; 118095 | SWF &gt;&gt; 117602 | SWF &gt;&gt; 116109 | SWF &gt;&gt; 117307 | SWF &gt;&gt; 116301 | SWF &gt;&gt; 116226 | SWF &gt;&gt; 117301 | SWF &gt;&gt; 105128 | SWF &gt;&gt; 117230 | SWF &gt;&gt; 117223 | SWF &gt;&gt; 119845 | SWF &gt;&gt; 119761 | SWF &gt;&gt; 119739 | SWF &gt;&gt; 116128 | SWF &gt;&gt; 116650 | SWF &gt;&gt; 119729 | VALEO &gt;&gt; VM464 | VALEO &gt;&gt; VM6 | VALEO &gt;&gt; VM441 | VALEO &gt;&gt; VM4 | VALEO &gt;&gt; VM324 | VALEO &gt;&gt; VM357 | VALEO &gt;&gt; VM317 | VALEO &gt;&gt; VM224 | VALEO &gt;&gt; VF45 | VALEO &gt;&gt; VFAM45 | VALEO &gt;&gt; V45S | VALEO &gt;&gt; V48S | VALEO &gt;&gt; V45 | VALEO &gt;&gt; V452 | VALEO &gt;&gt; UM621 | VALEO &gt;&gt; UM601 | VALEO &gt;&gt; UM4 | VALEO &gt;&gt; UM6 | VALEO &gt;&gt; UM203 | VALEO &gt;&gt; U48S | VALEO &gt;&gt; U45 | VALEO &gt;&gt; U45S | VALEO &gt;&gt; R45 | VALEO &gt;&gt; 576116 | VALEO &gt;&gt; 576112 | VALEO &gt;&gt; 576101 | VALEO &gt;&gt; 576073 | VALEO &gt;&gt; 576083 | VALEO &gt;&gt; 575545 | VALEO &gt;&gt; 575793 | VALEO &gt;&gt; 574641 | VALEO &gt;&gt; 574664 | VALEO &gt;&gt; 574365 | VALEO &gt;&gt; 574371 | VALEO &gt;&gt; 574286 | VALEO &gt;&gt; 574354 | VALEO &gt;&gt; 574129 | VALEO &gt;&gt; 574131 | VALEO &gt;&gt; CF6045 | VALEO &gt;&gt; 574112 | VALEO &gt;&gt; CF5545 | VALEO &gt;&gt; C6045 | VALEO &gt;&gt; 567981 | VALEO &gt;&gt; C45 | VALEO &gt;&gt; 567941 | VALEO &gt;&gt; 567793 | VALEO &gt;&gt; 567791 | VALEO &gt;&gt; 567771 | BOSCH &gt;&gt; 3397001368 | BOSCH &gt;&gt; 502S | BOSCH &gt;&gt; 502 | BOSCH &gt;&gt; AR813S | BOSCH &gt;&gt; AR604S | BOSCH &gt;&gt; 3397001342 | BOSCH &gt;&gt; 481S | BOSCH &gt;&gt; AR531S | BOSCH &gt;&gt; AR502S | BOSCH &gt;&gt; 481 | BOSCH &gt;&gt; AR450S | BOSCH &gt;&gt; AR18U | BOSCH &gt;&gt; 3397001269 | BOSCH &gt;&gt; 472 | BOSCH &gt;&gt; AP450U | BOSCH &gt;&gt; AM460S | BOSCH &gt;&gt; 46S | BOSCH &gt;&gt; AM450U | BOSCH &gt;&gt; AM18U | BOSCH &gt;&gt; 3397001268 | BOSCH &gt;&gt; 450U | BOSCH &gt;&gt; 450 | BOSCH &gt;&gt; A931S | BOSCH &gt;&gt; A863S | BOSCH &gt;&gt; 34S | BOSCH &gt;&gt; A187S | BOSCH &gt;&gt; 342S | BOSCH &gt;&gt; A115S | BOSCH &gt;&gt; A096S | BOSCH &gt;&gt; A084S | BOSCH &gt;&gt; 342 | BOSCH &gt;&gt; 3397118995 | BOSCH &gt;&gt; 3397118994 | BOSCH &gt;&gt; 3397118931 | BOSCH &gt;&gt; 3397118912 | BOSCH &gt;&gt; 3397118908 | BOSCH &gt;&gt; 269S | BOSCH &gt;&gt; 3397118901 | BOSCH &gt;&gt; 3397118564 | BOSCH &gt;&gt; 269 | BOSCH &gt;&gt; 3397118563 | BOSCH &gt;&gt; 3397118543 | BOSCH &gt;&gt; 268S | BOSCH &gt;&gt; 3397118542 | BOSCH &gt;&gt; 268 | BOSCH &gt;&gt; 3397118506 | BOSCH &gt;&gt; 3397118505 | BOSCH &gt;&gt; 3397118403 | BOSCH &gt;&gt; 3397118402 | BOSCH &gt;&gt; 3397118303 | BOSCH &gt;&gt; 873 | BOSCH &gt;&gt; 3397110837 | BOSCH &gt;&gt; 3397110821 | BOSCH &gt;&gt; 3397110509 | BOSCH &gt;&gt; 3397110094 | BOSCH &gt;&gt; 3397110066 | BOSCH &gt;&gt; 3397010097 | BOSCH &gt;&gt; 837 | BOSCH &gt;&gt; 3397008579 | BOSCH &gt;&gt; 3397008565 | BOSCH &gt;&gt; 803 | BOSCH &gt;&gt; 3397008532 | BOSCH &gt;&gt; 3397007863 | BOSCH &gt;&gt; 3397007460 | BOSCH &gt;&gt; 3397007226 | BOSCH &gt;&gt; 3397007210 | BOSCH &gt;&gt; 3397007187 | BOSCH &gt;&gt; 3397007164 | BOSCH &gt;&gt; 604S | BOSCH &gt;&gt; 3397007115 | BOSCH &gt;&gt; H450 | BOSCH &gt;&gt; 3397007096 | BOSCH &gt;&gt; 3397007084 | BOSCH &gt;&gt; 3397007034 | BOSCH &gt;&gt; 3397006945 | BOSCH &gt;&gt; 3397004763 | BOSCH &gt;&gt; 3397004581 | BOSCH &gt;&gt; 3397002873 | BOSCH &gt;&gt; 3397001803 | BOSCH &gt;&gt; 3397001489 | BOSCH &gt;&gt; 3397001472 | BOSCH &gt;&gt; 3397001371 | BOSCH &gt;&gt; 3397001369 | BOSCH &gt;&gt; 531 | BOSCH &gt;&gt; 509 | CHAMPION &gt;&gt; AS4545B02 | CHAMPION &gt;&gt; AS45 | CHAMPION &gt;&gt; AHR45B01 | CHAMPION &gt;&gt; AHR45 | CHAMPION &gt;&gt; AHL45B01 | CHAMPION &gt;&gt; AHL45 | CHAMPION &gt;&gt; AFR6545DC02 | CHAMPION &gt;&gt; AFR6045GC02 | CHAMPION &gt;&gt; AFR6045AC02 | CHAMPION &gt;&gt; AFR5845EC02 | CHAMPION &gt;&gt; AFR5545EC02 | CHAMPION &gt;&gt; AFR5545BC02 | CHAMPION &gt;&gt; AFR45B01 | CHAMPION &gt;&gt; AFR45 | CHAMPION &gt;&gt; AFL6545DC02 | CHAMPION &gt;&gt; AFL6045GC02 | CHAMPION &gt;&gt; AFL6045AC02 | CHAMPION &gt;&gt; AFL5845EC02 | CHAMPION &gt;&gt; AFL5545EC02 | CHAMPION &gt;&gt; AFL5545BC02 | CHAMPION &gt;&gt; AFL45B01 | CHAMPION &gt;&gt; AFL45 | CHAMPION &gt;&gt; A45B01 | CHAMPION &gt;&gt; A45 | CHAMPION &gt;&gt; X45EB02 | CHAMPION &gt;&gt; X45EB01 | CHAMPION &gt;&gt; X45E | CHAMPION &gt;&gt; X45C02 | CHAMPION &gt;&gt; X45C01 | CHAMPION &gt;&gt; X45B02 | CHAMPION &gt;&gt; X45B01 | CHAMPION &gt;&gt; X45 | CHAMPION &gt;&gt; WX45B01 | CHAMPION &gt;&gt; WX45 | CHAMPION &gt;&gt; SX45B01 | CHAMPION &gt;&gt; SX45 | CHAMPION &gt;&gt; SK65FC02 | CHAMPION &gt;&gt; SK65F | CHAMPION &gt;&gt; SK60FC02 | CHAMPION &gt;&gt; SK60F | CHAMPION &gt;&gt; SK55DC02 | CHAMPION &gt;&gt; SK55DB02 | CHAMPION &gt;&gt; SK55D | CHAMPION &gt;&gt; SK53CC02 | CHAMPION &gt;&gt; SK53CB02 | CHAMPION &gt;&gt; SK53C | CHAMPION &gt;&gt; SK51BC02 | CHAMPION &gt;&gt; SK51BB02 | CHAMPION &gt;&gt; SK51B | CHAMPION &gt;&gt; SK45MC02 | CHAMPION &gt;&gt; SK45M | CHAMPION &gt;&gt; SK45C02 | CHAMPION &gt;&gt; SK45 | CHAMPION &gt;&gt; RXU45B01 | CHAMPION &gt;&gt; RXU45 | CHAMPION &gt;&gt; KF60FC02 | CHAMPION &gt;&gt; KF60F | CHAMPION &gt;&gt; KF58ZC02 | CHAMPION &gt;&gt; KF58EC02 | CHAMPION &gt;&gt; KF55DC02 | CHAMPION &gt;&gt; KF55D | CHAMPION &gt;&gt; K65GC02 | CHAMPION &gt;&gt; K65G | CHAMPION &gt;&gt; K58EC02 | CHAMPION &gt;&gt; K58EB02 | CHAMPION &gt;&gt; EU45C01 | CHAMPION &gt;&gt; EU45 | CHAMPION &gt;&gt; ER45B01 | CHAMPION &gt;&gt; ER45 | CHAMPION &gt;&gt; EF45B01 | CHAMPION &gt;&gt; EF45 | CHAMPION &gt;&gt; E45B02 | CHAMPION &gt;&gt; E45B01 | CHAMPION &gt;&gt; E45 | CHAMPION &gt;&gt; DXR45 | CHAMPION &gt;&gt; DXL45 | CHAMPION &gt;&gt; AW45B01 | CHAMPION &gt;&gt; AW45 | CHAMPION &gt;&gt; AS5545B02 | CHAMPION &gt;&gt; AS5345B02 | CHAMPION &gt;&gt; AS5145B02 | CHAMPION &gt;&gt; AS45B01 | CHAMPION &gt;&gt; AS4548B02 | DENSO &gt;&gt; DU045R | DENSO &gt;&gt; DU045L | DENSO &gt;&gt; DMC045 | DENSO &gt;&gt; DM045 | DENSO &gt;&gt; DFR002 | DENSO &gt;&gt; DF242 | DENSO &gt;&gt; DF110 | DENSO &gt;&gt; DF009 | NWB &gt;&gt; NU018L | NWB &gt;&gt; EU518 | TRICO &gt;&gt; 35180 | TRICO &gt;&gt; WB450 | TRICO &gt;&gt; TT451R | TRICO &gt;&gt; TT451L | TRICO &gt;&gt; TT450 | TRICO &gt;&gt; T450 | TRICO &gt;&gt; NF459 | TRICO &gt;&gt; NF456 | TRICO &gt;&gt; NF4514 | TRICO &gt;&gt; NF450 | TRICO &gt;&gt; HF450 | TRICO &gt;&gt; FX450 | TRICO &gt;&gt; FISTER18 | TRICO &gt;&gt; ES450R | TRICO &gt;&gt; ES450L | TRICO &gt;&gt; ES450 | TRICO &gt;&gt; EF450 | PJ &gt;&gt; 041845</t>
  </si>
  <si>
    <t>V-Ribbed Belts</t>
  </si>
  <si>
    <t>Number of Ribs,  &gt;&gt; 3 | Length, mm &gt;&gt; 735</t>
  </si>
  <si>
    <t>Driven Units &gt;&gt; Driven unit: alternator</t>
  </si>
  <si>
    <t>HONDA &gt;&gt; 31110PE0003 | HONDA &gt;&gt; 31110PE0004 | GATES &gt;&gt; 38344 | GATES &gt;&gt; 3PK738 | HERTH+BUSS JAKOPARTS &gt;&gt; J1034000 | JAPANPARTS &gt;&gt; DV3PK0735 | JAPANPARTS &gt;&gt; DV3PK0740 | JAPANPARTS &gt;&gt; TV737 | KAVO PARTS &gt;&gt; DMV2034 | ASHIKA &gt;&gt; 1123PK740 | ASHIKA &gt;&gt; 1123PK0735 | ASHIKA &gt;&gt; 9607737 | BLUE PRINT &gt;&gt; ADH29605 | NPS &gt;&gt; H111A05 | JAPKO &gt;&gt; 3PK0735 | JAPKO &gt;&gt; 3PK740</t>
  </si>
  <si>
    <t>Cogged V-Belt</t>
  </si>
  <si>
    <t>HONDA &gt;&gt; 0500030735MEYLE | HONDA &gt;&gt; 31110PE0004 | HONDA &gt;&gt; 1987947800BOSCH | HONDA &gt;&gt; 31110PE0003 | HONDA &gt;&gt; 3PK738GATES | HONDA &gt;&gt; J1034000HBJAKOPAR | HONDA &gt;&gt; 3PK735CONTECH | HONDA &gt;&gt; J1034000HBJAKOPA | GATES &gt;&gt; 38344 | GATES &gt;&gt; 3PK738 | HERTH+BUSS JAKOPARTS &gt;&gt; J1034000 | JAPANPARTS &gt;&gt; DV3PK0740 | JAPANPARTS &gt;&gt; TV737 | KAVO PARTS &gt;&gt; DMV2034 | ASHIKA &gt;&gt; 1123PK740 | ASHIKA &gt;&gt; 9607737 | NIPPARTS &gt;&gt; J1030735 | BLUE PRINT &gt;&gt; ADH29605 | NPS &gt;&gt; H111A05</t>
  </si>
  <si>
    <t>Timing Belt</t>
  </si>
  <si>
    <t>Driven Units &gt;&gt; Driven unit: camshaft</t>
  </si>
  <si>
    <t>Teeth Quant.,  &gt;&gt; 129 | Width, mm &gt;&gt; 24</t>
  </si>
  <si>
    <t>HONDA &gt;&gt; 14400PG6004 | HONDA &gt;&gt; 14400PG6014 | ACURA &gt;&gt; 14400PG6014 | LUCAS ELECTRICAL &gt;&gt; KCB199 | BOSCH &gt;&gt; 1987948715 | CONTITECH &gt;&gt; HTD12299525M24 | CONTITECH &gt;&gt; CT722 | DAYCO &gt;&gt; 129RP240H | DAYCO &gt;&gt; 129RP240 | DAYCO &gt;&gt; 129SP240H | DAYCO &gt;&gt; 94137 | DAYCO &gt;&gt; 129SP240 | QUINTON HAZELL &gt;&gt; QTB252 | FERODO &gt;&gt; 4872670 | OPTIBELT &gt;&gt; HR58129X24MM | ROULUNDS RUBBER &gt;&gt; 129CP240 | ROULUNDS RUBBER &gt;&gt; RR1310 | ROULUNDS RUBBER &gt;&gt; 129HP240 | TRISCAN &gt;&gt; 86455170XS | AE &gt;&gt; TB355 | JAPANPARTS &gt;&gt; DD408 | JAPANPARTS &gt;&gt; JDD408 | KAVO PARTS &gt;&gt; DTB2022 | VEYANCE &gt;&gt; 24012903 | VEYANCE &gt;&gt; 129H95T240 | VEYANCE &gt;&gt; G1210H | VEYANCE &gt;&gt; 129H95P240 | HUTCHINSON &gt;&gt; 129HTDP24 | MOPROD &gt;&gt; MTB359 | UNIPART &gt;&gt; GTB1170XS | HAVAM &gt;&gt; VS9700 | ACDelco &gt;&gt; AB11239S | FLENNOR &gt;&gt; 4069V | NIPPARTS &gt;&gt; J112408 | NIPPARTS &gt;&gt; J1124008 | FAI AutoParts &gt;&gt; 41129 | BLUE PRINT &gt;&gt; ADH27509 | FIRST LINE &gt;&gt; FTB3436</t>
  </si>
  <si>
    <t>Teeth Quant.,  &gt;&gt; 126 |  &gt;&gt; with rounded tooth profile | Tooth Pitch, mm &gt;&gt; 9,5 | Length, mm &gt;&gt; 1199 | Width, mm &gt;&gt; 26</t>
  </si>
  <si>
    <t>Driven Units &gt;&gt; Driven unit: camshaft | Specification &gt;&gt; BELT SHAPE C</t>
  </si>
  <si>
    <t>HONDA &gt;&gt; 06141P72305 | HONDA &gt;&gt; 14400P72014 | HONDA &gt;&gt; 14400P72004 | GATES &gt;&gt; 5506XS | HERTH+BUSS JAKOPARTS &gt;&gt; J1124032 | JAPANPARTS &gt;&gt; DD481 | KAVO PARTS &gt;&gt; DTB2011 | ASHIKA &gt;&gt; 4004481 | BLUE PRINT &gt;&gt; ADH27531 | NPS &gt;&gt; H112A32 | JAPKO &gt;&gt; 40481</t>
  </si>
  <si>
    <t>Width, mm &gt;&gt; 26 | Teeth Quant.,  &gt;&gt; 126 |  &gt;&gt; with rounded tooth profile | Weight, kg &gt;&gt; 0,2 | Tooth Pitch, mm &gt;&gt; 9,5 | Length, mm &gt;&gt; 1199 | Quantity required,  &gt;&gt; 1</t>
  </si>
  <si>
    <t>HONDA &gt;&gt; 06141P72305 | HONDA &gt;&gt; 14400P72014 | HONDA &gt;&gt; 4004481ASHIKA | HONDA &gt;&gt; DD481JAPANPARTS | HONDA &gt;&gt; CT1125CONTECH | HONDA &gt;&gt; 1987AE1043BOSCH | HONDA &gt;&gt; 14400P72004 | HONDA &gt;&gt; J1124032HBJAKOPA | HONDA &gt;&gt; J1124032HBJAKOPAR | HONDA &gt;&gt; 5506XSGATES | SPIDAN &gt;&gt; 68407 | BOSCH &gt;&gt; 1987AE1043 | CONTITECH &gt;&gt; CT1125 | GATES &gt;&gt; 5506XS | LEMFORDER &gt;&gt; 2514401 | DAYCO &gt;&gt; 94534 | HERTH+BUSS JAKOPARTS &gt;&gt; J1124032 | QUINTON HAZELL &gt;&gt; QTB569 | OPTIBELT &gt;&gt; HR76126X26MM | PEX &gt;&gt; 202262 | ROULUNDS RUBBER &gt;&gt; RR1468 | TRISCAN &gt;&gt; 86455506XS | OPTIMAL &gt;&gt; R1414 | AE &gt;&gt; TB804 | JAPANPARTS &gt;&gt; DD481 | KAVO PARTS &gt;&gt; DTB2011 | VEYANCE &gt;&gt; G1423H | ACDelco &gt;&gt; AB11377S | SCT Germany &gt;&gt; G506 | FLENNOR &gt;&gt; 4495V | BANDO &gt;&gt; 126BRU26 | ASHIKA &gt;&gt; 4004481 | NIPPARTS &gt;&gt; J1124032 | MGA &gt;&gt; G1423H | KDP &gt;&gt; DTB2011 | FAI AutoParts &gt;&gt; 75126 | BLUE PRINT &gt;&gt; ADH27531 | SOLID AUTO (UK) &gt;&gt; H121026 | NPS &gt;&gt; H112A32 | ASHUKI &gt;&gt; 03362304 | IPS Parts &gt;&gt; IDT6420 | JAPKO &gt;&gt; 40481 | QH Talbros &gt;&gt; QTB569</t>
  </si>
  <si>
    <t>Timing Belt Kit</t>
  </si>
  <si>
    <t>BLUE PRINT &gt;&gt; ADH27308</t>
  </si>
  <si>
    <t>Belt Kit</t>
  </si>
  <si>
    <t>NIPPARTS &gt;&gt; J1114017 | BLUE PRINT &gt;&gt; ADH27308</t>
  </si>
  <si>
    <t>Tensioner Pulley, timing belt</t>
  </si>
  <si>
    <t>Units / Pulleys &gt;&gt; Driven unit: camshaft | Supplementary Article/Supplementary Info &gt;&gt; with holder</t>
  </si>
  <si>
    <t>HONDA &gt;&gt; 14510PR3004 | HONDA &gt;&gt; 14510PR3003 | HONDA &gt;&gt; 14510P30005 | HONDA &gt;&gt; 14510P30003 | SKF &gt;&gt; VKM73201 | HERTH+BUSS JAKOPARTS &gt;&gt; J1144007 | JAPANPARTS &gt;&gt; BE415 | KAVO PARTS &gt;&gt; DTE2005 | ASHIKA &gt;&gt; 4504415 | BLUE PRINT &gt;&gt; ADH27606 | NPS &gt;&gt; H113A07 | JAPKO &gt;&gt; 45415</t>
  </si>
  <si>
    <t>Pulley</t>
  </si>
  <si>
    <t>Timing Belt Tension</t>
  </si>
  <si>
    <t>Weight, kg &gt;&gt; 0,310 | Quantity required,  &gt;&gt; 1</t>
  </si>
  <si>
    <t>Supplementary Article/Supplementary Info &gt;&gt; with holder | Units / Pulleys &gt;&gt; Driven unit: camshaft</t>
  </si>
  <si>
    <t>HONDA &gt;&gt; 14510P30003 | HONDA &gt;&gt; 14510P30005 | HONDA &gt;&gt; 14510PR3003 | HONDA &gt;&gt; 24767FEBI | HONDA &gt;&gt; J1144007HBJAKOPA | HONDA &gt;&gt; 57400RUVILLE | HONDA &gt;&gt; 14510PR3004 | HONDA &gt;&gt; 4504415ASHIKA | HONDA &gt;&gt; 68400SPIDAN | HONDA &gt;&gt; BE415JAPANPARTS | HONDA &gt;&gt; VKM73201SKF | SPIDAN &gt;&gt; 68400 | SPIDAN &gt;&gt; 70408 | LuK &gt;&gt; 5310140000 | LuK &gt;&gt; 531014020 | RUVILLE &gt;&gt; 57400 | CONTITECH &gt;&gt; V57400 | GATES &gt;&gt; T41016 | LEMFORDER &gt;&gt; 2156501 | DAYCO &gt;&gt; ATB2002 | SKF &gt;&gt; VKM73201 | HERTH+BUSS JAKOPARTS &gt;&gt; J1144007 | QUINTON HAZELL &gt;&gt; QTT310 | OPTIBELT &gt;&gt; 391ST | PEX &gt;&gt; 203398 | METZGER &gt;&gt; WMATB2002 | ROULUNDS RUBBER &gt;&gt; BT1187 | TRISCAN &gt;&gt; 864640109 | SNR &gt;&gt; KD47409 | SNR &gt;&gt; KD47410 | SNR &gt;&gt; GT37406 | OPTIMAL &gt;&gt; 0N979 | MAPCO &gt;&gt; 23522 | MAPCO &gt;&gt; 23500 | MAPCO &gt;&gt; 23251 | JAPANPARTS &gt;&gt; BE415 | HEPU &gt;&gt; 140700 | GK &gt;&gt; 641705 | VEMO &gt;&gt; V260032 | LPR &gt;&gt; FF40055 | KAVO PARTS &gt;&gt; DTE2005 | HUTCHINSON &gt;&gt; HTG241 | INA &gt;&gt; 531014020J | INA &gt;&gt; 531014020 | BREDA  LORETT &gt;&gt; CR5085 | TIMKEN &gt;&gt; TKR9979 | FLENNOR &gt;&gt; FS62190 | ASHIKA &gt;&gt; 4504415 | NIPPARTS &gt;&gt; J1144007 | KDP &gt;&gt; DTE2005 | IPD &gt;&gt; 140700 | FAI AutoParts &gt;&gt; T9417 | JP GROUP &gt;&gt; 3412100219 | JP GROUP &gt;&gt; 3412100619 | AUTEX &gt;&gt; 641705 | BLUE PRINT &gt;&gt; ADH27606 | NPS &gt;&gt; H113A07 | IPS Parts &gt;&gt; ITB6415 | VEMA &gt;&gt; 65014048 | JAPKO &gt;&gt; 45415 | QH Talbros &gt;&gt; QTT310</t>
  </si>
  <si>
    <t>Width, mm &gt;&gt; 30 | O, mm &gt;&gt; 55</t>
  </si>
  <si>
    <t>HONDA &gt;&gt; 14510P30003</t>
  </si>
  <si>
    <t>Thermostat, coolant</t>
  </si>
  <si>
    <t>Opening Temperature, °C &gt;&gt; 78 |  &gt;&gt; without housing</t>
  </si>
  <si>
    <t>HONDA &gt;&gt; 19300PE0013 | HONDA &gt;&gt; 19300PE0024 | HONDA &gt;&gt; 19300PL2004 | HONDA &gt;&gt; 19300PH7004 | HONDA &gt;&gt; 19300PH7014 | STANDARD &gt;&gt; 75111 | WAHLER &gt;&gt; 426978D | WAHLER &gt;&gt; 426978 | TRISCAN &gt;&gt; 86207282 | JAPANPARTS &gt;&gt; VA010 | JAPANPARTS &gt;&gt; VA013 | JAPANPARTS &gt;&gt; JVT214 | JAPANPARTS &gt;&gt; JVT401 | JAPANPARTS &gt;&gt; JVT204 | JAPANPARTS &gt;&gt; VT204 | JAPANPARTS &gt;&gt; VT401 | JAPANPARTS &gt;&gt; VT214 | KAVO PARTS &gt;&gt; TH2001 | FACET &gt;&gt; 580267 | FACET &gt;&gt; 1880267 | FACET &gt;&gt; 78267 | INTERMOTOR &gt;&gt; 75111 | CALORSTAT by Vernet &gt;&gt; TH626778J | CALORSTAT by Vernet &gt;&gt; 626778J | FAE &gt;&gt; 5307379 | NIPPARTS &gt;&gt; J1534007 | NIPPARTS &gt;&gt; J1534001 | MTE-THOMSON &gt;&gt; 25377 | BLUE PRINT &gt;&gt; ADH29205 | BLUE PRINT &gt;&gt; ADH29204 | MOTORAD &gt;&gt; 204277 | MOTORAD &gt;&gt; 24277 | BGA &gt;&gt; CT5422 | BGA &gt;&gt; CT5328K</t>
  </si>
  <si>
    <t>Thermostat</t>
  </si>
  <si>
    <t>Cooling System</t>
  </si>
  <si>
    <t>Coolant</t>
  </si>
  <si>
    <t>Opening Temperature, °C &gt;&gt; 78 | Fitted O, mm &gt;&gt; 35</t>
  </si>
  <si>
    <t>HONDA &gt;&gt; 19300PE0003 | HONDA &gt;&gt; 19300PE0014 | HONDA &gt;&gt; 19300PE0013 | HONDA &gt;&gt; 19300PE0024 | HERTH+BUSS JAKOPARTS &gt;&gt; J1534001 | JAPANPARTS &gt;&gt; VA013 | KAVO PARTS &gt;&gt; TH2004 | ASHIKA &gt;&gt; 22013 | BLUE PRINT &gt;&gt; ADH29204 | NPS &gt;&gt; H153A01 | JAPKO &gt;&gt; 2213</t>
  </si>
  <si>
    <t>MOTORAD</t>
  </si>
  <si>
    <t>Opening Temperature, °C &gt;&gt; 82 | D1, mm &gt;&gt; 52 | D2, mm &gt;&gt; 27,7 | Height 1, mm &gt;&gt; 33</t>
  </si>
  <si>
    <t>from construction year &gt;&gt; 10/1985 | to construction year &gt;&gt; 09/1990</t>
  </si>
  <si>
    <t>HONDA &gt;&gt; 19300PE0013 | HONDA &gt;&gt; 19300PLZ004 | HONDA &gt;&gt; 19301PLC315 | HONDA &gt;&gt; 19301PLC305 | HONDA &gt;&gt; 19300PM0003 | HONDA &gt;&gt; 19301PAA305 | HONDA &gt;&gt; 19301PWA305 | MITSUBISHI &gt;&gt; MD071349 | MITSUBISHI &gt;&gt; MD972909 | ROVER &gt;&gt; GTS285 | ROVER &gt;&gt; GTS286 | ROVER &gt;&gt; GTS275 | ROVER &gt;&gt; GTS283 | TOYOTA &gt;&gt; 9091603061 | TOYOTA &gt;&gt; 1634054040 | GATES &gt;&gt; TH14178G1 | GATES &gt;&gt; TH14178G2 | GATES &gt;&gt; TH03382G1 | GATES &gt;&gt; TH04382G1 | BEHR &gt;&gt; 685182 | BEHR &gt;&gt; 633683 | BEHR &gt;&gt; 670088300 | BEHR &gt;&gt; 633579 | QUINTON HAZELL &gt;&gt; QTH367 | QUINTON HAZELL &gt;&gt; QTH619 | QUINTON HAZELL &gt;&gt; QTH328K | QUINTON HAZELL &gt;&gt; QTH366 | WAHLER &gt;&gt; 426978D | WAHLER &gt;&gt; 41022482D | WAHLER &gt;&gt; 41022478D | CALORSTAT by Vernet &gt;&gt; TH702182 | CALORSTAT by Vernet &gt;&gt; TH657782 | CALORSTAT by Vernet &gt;&gt; TH659978 | CALORSTAT by Vernet &gt;&gt; TH629678 | CALORSTAT by Vernet &gt;&gt; TH626782 | CALORSTAT by Vernet &gt;&gt; TH626778 | CALORSTAT by Vernet &gt;&gt; TH595282J | CALORSTAT by Vernet &gt;&gt; TH595278 | CALORSTAT by Vernet &gt;&gt; TH595282 | CALORSTAT by Vernet &gt;&gt; 631282 | MTE-THOMSON &gt;&gt; 31582 | MTE-THOMSON &gt;&gt; VT31582 | MTE-THOMSON &gt;&gt; VT31578 | MTE-THOMSON &gt;&gt; VT25382 | MTE-THOMSON &gt;&gt; VT25377 | MTE-THOMSON &gt;&gt; 31578 | MTE-THOMSON &gt;&gt; 25382 | MTE-THOMSON &gt;&gt; 25377</t>
  </si>
  <si>
    <t>Opening Temperature, °C &gt;&gt; 78 | Switch Point, °C &gt;&gt; 78 | O, mm &gt;&gt; 52 | Weight, kg &gt;&gt; 0,094 | Quantity required,  &gt;&gt; 1</t>
  </si>
  <si>
    <t>HONDA &gt;&gt; 19300PE0003 | HONDA &gt;&gt; 19300PE0014 | HONDA &gt;&gt; 820076VALEO | HONDA &gt;&gt; J1534001HBJAKOPA | HONDA &gt;&gt; 19300PE0013 | HONDA &gt;&gt; VT401JAPANPARTS | HONDA &gt;&gt; 19300PE0024 | HONDA &gt;&gt; 3804401ASHIKA | HONDA &gt;&gt; TH14178G2GATES | HONDA &gt;&gt; TH14178G1GATES | VALEO &gt;&gt; 820076 | GATES &gt;&gt; TH14178G2 | GATES &gt;&gt; TH14178G1 | HERTH+BUSS JAKOPARTS &gt;&gt; J1534001 | QUINTON HAZELL &gt;&gt; QTH328 | QUINTON HAZELL &gt;&gt; QTH328K | BORG &amp; BECK &gt;&gt; BTS20478 | WAHLER &gt;&gt; 426978D | WAHLER &gt;&gt; 426978 | TRISCAN &gt;&gt; 86205078 | TRISCAN &gt;&gt; 86208177 | TRISCAN &gt;&gt; 86205088 | TRISCAN &gt;&gt; 86205082 | MEYLE &gt;&gt; 31282280002 | JAPANPARTS &gt;&gt; VT401 | JAPANPARTS &gt;&gt; VA013 | VEMO &gt;&gt; V26990001 | KAVO PARTS &gt;&gt; TH2004 | UNIPART &gt;&gt; GTS275 | CALORSTAT by Vernet &gt;&gt; TH659978J | ASHIKA &gt;&gt; 22013 | ASHIKA &gt;&gt; 3804401 | NIPPARTS &gt;&gt; J1534006 | NIPPARTS &gt;&gt; J1534001 | SASIC &gt;&gt; 9000237 | BLUE PRINT &gt;&gt; ADH29204 | SOLID AUTO (UK) &gt;&gt; H128003 | FIRST LINE &gt;&gt; FTS20478 | NPS &gt;&gt; H153A01 | BGA &gt;&gt; CT5422 | BGA &gt;&gt; CT5328K | JAPKO &gt;&gt; 2213 | JAPKO &gt;&gt; 38401 | QH Talbros &gt;&gt; QTH328K | QH Talbros &gt;&gt; QTH328</t>
  </si>
  <si>
    <t>PAYEN</t>
  </si>
  <si>
    <t>Gasket, cylinder head</t>
  </si>
  <si>
    <t xml:space="preserve"> &gt;&gt; Graphite Composite</t>
  </si>
  <si>
    <t>AUSTIN &gt;&gt; DBP4105 | AUSTIN &gt;&gt; DBP4106 | AUSTIN &gt;&gt; DBP9278 | AUSTIN &gt;&gt; ECP7248 | HONDA &gt;&gt; 12251PE0010 | HONDA &gt;&gt; 12251PE3004 | HONDA &gt;&gt; 12251PE3003 | HONDA &gt;&gt; 12251PE0023 | HONDA &gt;&gt; 12251PEO010 | HONDA &gt;&gt; 12251PE0003 | HONDA &gt;&gt; 12251PEO004 | HONDA &gt;&gt; 12251PE0004 | HONDA &gt;&gt; 12251PE0013 | HONDA &gt;&gt; 12251PE3014 | REINZ &gt;&gt; 615229510 | ELRING &gt;&gt; 526895 | HERTH+BUSS JAKOPARTS &gt;&gt; J1254003 | GOETZE &gt;&gt; 3002671410 | GLASER &gt;&gt; H8090210 | CORTECO &gt;&gt; 414377P | FAI AutoParts &gt;&gt; HG333 | BGA &gt;&gt; CH2351</t>
  </si>
  <si>
    <t>Seal / Gasket</t>
  </si>
  <si>
    <t>Cylinder Head</t>
  </si>
  <si>
    <t>Engine Block</t>
  </si>
  <si>
    <t>Thickness/Strength, mm &gt;&gt; 1,2 | Length, mm &gt;&gt; 375 | Width, mm &gt;&gt; 165</t>
  </si>
  <si>
    <t>Cylinder Bore [mm] &gt;&gt; 74,5</t>
  </si>
  <si>
    <t>HONDA &gt;&gt; 12251PE0003 | HONDA &gt;&gt; 12251PE0013 | HONDA &gt;&gt; 12251PE3014 | HONDA &gt;&gt; 12251PE3004 | HONDA &gt;&gt; 12251PE0010 | HONDA &gt;&gt; 12251PE0023 | HONDA &gt;&gt; 12251PE0014 | HERTH+BUSS JAKOPARTS &gt;&gt; J1254003</t>
  </si>
  <si>
    <t>Gasket Set, cylinder head</t>
  </si>
  <si>
    <t xml:space="preserve"> &gt;&gt; with cylinder head cover gasket</t>
  </si>
  <si>
    <t>HONDA &gt;&gt; 061A1PE3020 | HONDA &gt;&gt; 061A1PE3S10 | HERTH+BUSS JAKOPARTS &gt;&gt; J1244034 | JAPANPARTS &gt;&gt; KG434 | ASHIKA &gt;&gt; 4804434 | BLUE PRINT &gt;&gt; ADH26216 | NPS &gt;&gt; H124A32 | JAPKO &gt;&gt; 48434</t>
  </si>
  <si>
    <t>Gasket Set</t>
  </si>
  <si>
    <t xml:space="preserve"> &gt;&gt; with cylinder head gasket |  &gt;&gt; with valve stem seals</t>
  </si>
  <si>
    <t>HONDA &gt;&gt; 061A1PE3010 | HONDA &gt;&gt; 061A1PE3000 | HONDA &gt;&gt; HO061A1PE3000010 | HONDA &gt;&gt; 061A1PE3020 | REINZ &gt;&gt; 025229504 | ELRING &gt;&gt; 751384 | HERTH+BUSS JAKOPARTS &gt;&gt; J1244034 | GOETZE &gt;&gt; 2126714220 | GLASER &gt;&gt; D8090201 | CORTECO &gt;&gt; 418733P | JAPANPARTS &gt;&gt; KG434 | ASHIKA &gt;&gt; 4804434 | NIPPARTS &gt;&gt; J1244034 | ASHUKI &gt;&gt; 03724304 | JAPKO &gt;&gt; 48434</t>
  </si>
  <si>
    <t>Weight, kg &gt;&gt; 0,525 |  &gt;&gt; with cylinder head cover gasket | Quantity required,  &gt;&gt; 1</t>
  </si>
  <si>
    <t>HONDA &gt;&gt; 061A1PE3020 | HONDA &gt;&gt; 061A1PE3S10 | HONDA &gt;&gt; J1244034HBJAKOPA | HONDA &gt;&gt; KG434JAPANPARTS | HONDA &gt;&gt; 4804434ASHIKA | REINZ &gt;&gt; 025229504 | ELRING &gt;&gt; 751384 | HERTH+BUSS JAKOPARTS &gt;&gt; J1244034 | GOETZE &gt;&gt; 2126714220 | GLASER &gt;&gt; D8090201 | TRISCAN &gt;&gt; 5983002 | PAYEN &gt;&gt; DM995 | AJUSA &gt;&gt; 52062800 | CORTECO &gt;&gt; 417570P | JAPANPARTS &gt;&gt; KG434 | ASHIKA &gt;&gt; 4804434 | NIPPARTS &gt;&gt; J1244034 | FAI AutoParts &gt;&gt; HS333 | BLUE PRINT &gt;&gt; ADH26216 | FAI &gt;&gt; HS333 | SOLID AUTO (UK) &gt;&gt; H111022 | NPS &gt;&gt; H124A32 | BGA &gt;&gt; HK0311 | JAPKO &gt;&gt; 48434</t>
  </si>
  <si>
    <t>Gasket, cylinder head cover</t>
  </si>
  <si>
    <t>HONDA &gt;&gt; 12341PE0000 | HERTH+BUSS JAKOPARTS &gt;&gt; J1224006 | JAPANPARTS &gt;&gt; GP406 | JAPANPARTS &gt;&gt; JGP406 | BLUE PRINT &gt;&gt; ADH26703 | NPS &gt;&gt; H122A06</t>
  </si>
  <si>
    <t>Cylinder Head Cover</t>
  </si>
  <si>
    <t>Weight, kg &gt;&gt; 0,088 | Quantity required,  &gt;&gt; 1</t>
  </si>
  <si>
    <t>HONDA &gt;&gt; 12341PEO000 | HONDA &gt;&gt; 12341PE0000 | HONDA &gt;&gt; 4704406ASHIKA | HONDA &gt;&gt; GP406JAPANPARTS | HONDA &gt;&gt; J1224006HBJAKOPA | REINZ &gt;&gt; 715228900 | ELRING &gt;&gt; 526347 | HERTH+BUSS JAKOPARTS &gt;&gt; J1224006 | GOETZE &gt;&gt; 5002676300 | GLASER &gt;&gt; X8319701 | PAYEN &gt;&gt; JN562 | AJUSA &gt;&gt; 11027400 | AJUSA &gt;&gt; 11027408 | CORTECO &gt;&gt; 440166P | JAPANPARTS &gt;&gt; GP406 | JAPANPARTS &gt;&gt; JGP406 | ASHIKA &gt;&gt; 4704406 | NIPPARTS &gt;&gt; J1224006 | FAI AutoParts &gt;&gt; RC333S | BLUE PRINT &gt;&gt; ADH26703 | FAI &gt;&gt; RC329S | SOLID AUTO (UK) &gt;&gt; H112005 | NPS &gt;&gt; H122A06 | JAPKO &gt;&gt; 47406</t>
  </si>
  <si>
    <t>ELRING</t>
  </si>
  <si>
    <t>Seal Set, valve stem</t>
  </si>
  <si>
    <t xml:space="preserve"> &gt;&gt; Green |  &gt;&gt; for intake valves</t>
  </si>
  <si>
    <t>REINZ &gt;&gt; 125354701 | GLASER &gt;&gt; N9304700 | AJUSA &gt;&gt; 57030200</t>
  </si>
  <si>
    <t>Valve Stem</t>
  </si>
  <si>
    <t>Brake Pad Set, disc brake</t>
  </si>
  <si>
    <t>Fitting Position,  &gt;&gt; Rear Axle | Thickness/Strength, mm &gt;&gt; 12,5 | Length, mm &gt;&gt; 88,7 | Width, mm &gt;&gt; 35 |  &gt;&gt; incl. wear warning contact</t>
  </si>
  <si>
    <t>Drive Type &gt;&gt; Front Wheel Drive</t>
  </si>
  <si>
    <t>MG &gt;&gt; GBP90347AF | ROVER &gt;&gt; EJP1437 | ROVER &gt;&gt; GBP90316 | ROVER &gt;&gt; GBP90316AF | ATE &gt;&gt; 13046059982 | TEXTAR &gt;&gt; 2131201 | QUINTON HAZELL &gt;&gt; BP448 | FERODO &gt;&gt; FDB621 | BREMBO &gt;&gt; P28017 | MINTEX &gt;&gt; MDB1411 | DELPHI &gt;&gt; LP625 | ROADHOUSE &gt;&gt; 223302 | TRW &gt;&gt; GDB499 | Brake ENGINEERING &gt;&gt; PA545 | APEC braking &gt;&gt; PAD688 | BLUE PRINT &gt;&gt; ADH24254 | COMLINE &gt;&gt; CBP3242 | COMLINE &gt;&gt; ADB3242 | JURATEK &gt;&gt; JCP621</t>
  </si>
  <si>
    <t>Brake Pad Set</t>
  </si>
  <si>
    <t>WAGNER</t>
  </si>
  <si>
    <t>Fitting Position,  &gt;&gt; Rear Axle</t>
  </si>
  <si>
    <t>HONDA &gt;&gt; 43022S04E03 | HONDA &gt;&gt; 43022SH3932 | HONDA &gt;&gt; 43022S04E00 | HONDA &gt;&gt; 43022S04E02 | HONDA &gt;&gt; 43022SR3G00 | HONDA &gt;&gt; 43022SR3G01 | HONDA &gt;&gt; 43022SH3G01 | HONDA &gt;&gt; 43022SH3N30 | HONDA &gt;&gt; 43022SR2030 | HONDA &gt;&gt; 43022SE0500 | HONDA &gt;&gt; 43022SE0N50 | HONDA &gt;&gt; 43022SE7930 | HONDA &gt;&gt; 43022SH3931 | HONDA &gt;&gt; 43022SE0S00 | HONDA &gt;&gt; 43022SE0930 | HONDA &gt;&gt; 43022SE0931 | ATE &gt;&gt; 13046059982 | VALEO &gt;&gt; 551728 | VALEO &gt;&gt; 598286 | VALEO &gt;&gt; 598437 | VALEO &gt;&gt; 598053 | TEXTAR &gt;&gt; 2131201 | JURID &gt;&gt; 572135J | BENDIX &gt;&gt; 572135B | QUINTON HAZELL &gt;&gt; BP470 | FERODO &gt;&gt; FSL472 | BREMBO &gt;&gt; P28011 | MINTEX &gt;&gt; MDB2191 | MINTEX &gt;&gt; MDB1360 | DELPHI &gt;&gt; LP772 | DELPHI &gt;&gt; LP562 | ROULUNDS RUBBER &gt;&gt; 422881 | METELLI &gt;&gt; 2201700 | ROADHOUSE &gt;&gt; 22332 | ROADHOUSE &gt;&gt; 2233 | REMSA &gt;&gt; 023386 | ICER &gt;&gt; 180960 | ICER &gt;&gt; 180751 | TRUSTING &gt;&gt; 1730 | UNIPART &gt;&gt; GBP759AF | UNIPART &gt;&gt; GBP759 | TRW &gt;&gt; GDB775 | TRW &gt;&gt; GDB3113 | FMSI-VERBAND &gt;&gt; 7233D374 | NECTO &gt;&gt; FD6344A | NECTO &gt;&gt; FD6344N | NIPPARTS &gt;&gt; 3614004 | NIPPARTS &gt;&gt; 3614002 | Brake ENGINEERING &gt;&gt; PA491 | APEC braking &gt;&gt; PAD587 | BLUE PRINT &gt;&gt; ADH24219 | BLUE PRINT &gt;&gt; ADH24209 | WAGNER &gt;&gt; WBP21312B | A.B.S. &gt;&gt; 36619</t>
  </si>
  <si>
    <t>Fitting Position,  &gt;&gt; Front Axle | Thickness/Strength, mm &gt;&gt; 15 | Width, mm &gt;&gt; 127,7 | Height, mm &gt;&gt; 48,6 |  &gt;&gt; excl. wear warning contact | Brake System,  &gt;&gt; Akebono</t>
  </si>
  <si>
    <t>ATE &gt;&gt; 13046059182 | TEXTAR &gt;&gt; 2009915005 | JURID &gt;&gt; 572288 | QUINTON HAZELL &gt;&gt; BP425 | FERODO &gt;&gt; FDB454 | REMSA &gt;&gt; 22800 | A.B.S. &gt;&gt; 36615 | NIPPARTS &gt;&gt; J3604024 | NIPPARTS &gt;&gt; J3604018</t>
  </si>
  <si>
    <t>Brake System,  &gt;&gt; Akebono | Width, mm &gt;&gt; 89,1 | Height, mm &gt;&gt; 35,3 | Thickness/Strength, mm &gt;&gt; 13 |  &gt;&gt; with acoustic wear warning | Appr. stamp,  &gt;&gt; ECE R90 APPROVED</t>
  </si>
  <si>
    <t>Fitting Position &gt;&gt; Rear Axle | from construction year &gt;&gt; 10/1985</t>
  </si>
  <si>
    <t>HONDA &gt;&gt; 43022SF1S01 | ROVER &gt;&gt; GBP90316AF | ATE &gt;&gt; 605998 | ATE &gt;&gt; 13046059982 | PAGID &gt;&gt; T0034 | VALEO &gt;&gt; 598286 | VALEO &gt;&gt; 598053 | BOSCH &gt;&gt; 0986494128 | BOSCH &gt;&gt; 0986461131 | TEXTAR &gt;&gt; J3614007130 | TEXTAR &gt;&gt; 2131213005 | TEXTAR &gt;&gt; 2131201 | JURID &gt;&gt; 572136J | JURID &gt;&gt; 571977J | BENDIX &gt;&gt; 572136X | BENDIX &gt;&gt; 572136S | BENDIX &gt;&gt; 572136 | BENDIX &gt;&gt; 572136B | BENDIX &gt;&gt; 571977S | BENDIX &gt;&gt; 571977X | BENDIX &gt;&gt; 571977B | BENDIX &gt;&gt; 571977 | QUINTON HAZELL &gt;&gt; BP448 | FERODO &gt;&gt; FDB621 | FERODO &gt;&gt; FSL621 | BREMBO &gt;&gt; P28017 | MINTEX &gt;&gt; MDB1411 | PEX &gt;&gt; 7134 | DELPHI &gt;&gt; LP625 | NK &gt;&gt; 229972 | ROADHOUSE &gt;&gt; 223385 | ROADHOUSE &gt;&gt; 223302 | REMSA &gt;&gt; 23385 | REMSA &gt;&gt; 23302 | REMSA &gt;&gt; 023385 | REMSA &gt;&gt; 023302 | REMSA &gt;&gt; PCA023302 | REMSA &gt;&gt; PCA023385 | JAPANPARTS &gt;&gt; JPP404 | JAPANPARTS &gt;&gt; PP404AF | ICER &gt;&gt; 180752701 | ICER &gt;&gt; 180752 | LPR &gt;&gt; 05P928 | LPR &gt;&gt; 05P506 | TRUSTING &gt;&gt; 1731 | TRW &gt;&gt; GDB499 | FMSI-VERBAND &gt;&gt; D0374 | MK Kashiyama &gt;&gt; D5042M | ASHIKA &gt;&gt; 5104404 | MGA &gt;&gt; 305 | APEC braking &gt;&gt; PAD611 | BRECK &gt;&gt; 2131200C | sbs &gt;&gt; 1501229972 | E.T.F. &gt;&gt; 530 | E.T.F. &gt;&gt; 120530 | E.T.F. &gt;&gt; 396 | E.T.F. &gt;&gt; 120396 | DEX &gt;&gt; 21731 | SIMER &gt;&gt; 442 | RAICAM &gt;&gt; 4530</t>
  </si>
  <si>
    <t>Brake System,  &gt;&gt; Akebono | Width, mm &gt;&gt; 129,2 | Height, mm &gt;&gt; 53,1 | Thickness/Strength, mm &gt;&gt; 17,5 |  &gt;&gt; with acoustic wear warning</t>
  </si>
  <si>
    <t>Fitting Position &gt;&gt; Front Axle | from construction year &gt;&gt; 10/1989</t>
  </si>
  <si>
    <t>HONDA &gt;&gt; 45022SE0G10 | HONDA &gt;&gt; 45022SG0527 | HONDA &gt;&gt; 45022SG0000 | HONDA &gt;&gt; 45022SG0020 | HONDA &gt;&gt; 45022SG0507 | HONDA &gt;&gt; 45022SG0517 | HONDA &gt;&gt; 45022SG0335 | HONDA &gt;&gt; 45022SG0010 | ATE &gt;&gt; 13046059222 | ATE &gt;&gt; 605922 | PAGID &gt;&gt; T0370 | BOSCH &gt;&gt; 0986424260 | TEXTAR &gt;&gt; 2144617505 | TEXTAR &gt;&gt; 2144601 | JURID &gt;&gt; 572309J | BENDIX &gt;&gt; 572309B | BENDIX &gt;&gt; 572309 | BENDIX &gt;&gt; 572309S | BENDIX &gt;&gt; 572309X | QUINTON HAZELL &gt;&gt; BP548 | FERODO &gt;&gt; FDB748 | BREMBO &gt;&gt; P28013 | MINTEX &gt;&gt; MDB1589 | DELPHI &gt;&gt; LP665 | NK &gt;&gt; 222612 | ROADHOUSE &gt;&gt; 232302 | REMSA &gt;&gt; 32302 | REMSA &gt;&gt; PCA032302 | REMSA &gt;&gt; 032302 | JAPANPARTS &gt;&gt; PA440AF | JAPANPARTS &gt;&gt; PA426AF | JAPANPARTS &gt;&gt; JPA440 | JAPANPARTS &gt;&gt; JPA426 | ICER &gt;&gt; 180962 | LPR &gt;&gt; 05P555 | TRUSTING &gt;&gt; 1740 | TRW &gt;&gt; GDB3034 | FMSI-VERBAND &gt;&gt; D0409 | MK Kashiyama &gt;&gt; D5050M | ASHIKA &gt;&gt; 5004440 | ASHIKA &gt;&gt; 5004426 | MGA &gt;&gt; 413 | APEC braking &gt;&gt; PAD704 | sbs &gt;&gt; 1501222612 | E.T.F. &gt;&gt; 480 | E.T.F. &gt;&gt; 120480 | DEX &gt;&gt; 21740 | SIMER &gt;&gt; 4311 | RAICAM &gt;&gt; 4550</t>
  </si>
  <si>
    <t>Brake System,  &gt;&gt; Akebono | Width, mm &gt;&gt; 127,6 | Height, mm &gt;&gt; 48,5 | Thickness/Strength, mm &gt;&gt; 15 |  &gt;&gt; with acoustic wear warning</t>
  </si>
  <si>
    <t>Fitting Position &gt;&gt; Front Axle | to construction year &gt;&gt; 09/1989</t>
  </si>
  <si>
    <t>HONDA &gt;&gt; 45022SE0G00 | ATE &gt;&gt; 605918 | ATE &gt;&gt; 13046059182 | PAGID &gt;&gt; T0365 | BOSCH &gt;&gt; 0986460936 | TEXTAR &gt;&gt; 2009915005 | TEXTAR &gt;&gt; 2009902 | JURID &gt;&gt; 572288J | BENDIX &gt;&gt; 572288S | BENDIX &gt;&gt; 572288X | BENDIX &gt;&gt; 572288B | BENDIX &gt;&gt; 572288 | QUINTON HAZELL &gt;&gt; BP425 | FERODO &gt;&gt; FDB454 | BREMBO &gt;&gt; P28010 | MINTEX &gt;&gt; MDB1344 | DELPHI &gt;&gt; LP525 | NK &gt;&gt; 222607 | ROADHOUSE &gt;&gt; 222802 | REMSA &gt;&gt; 22802 | REMSA &gt;&gt; 022802 | REMSA &gt;&gt; PCA022802 | JAPANPARTS &gt;&gt; JPA418 | JAPANPARTS &gt;&gt; PA418AF | JAPANPARTS &gt;&gt; PA424AF | JAPANPARTS &gt;&gt; JPA424 | ICER &gt;&gt; 180750 | LPR &gt;&gt; 05P073 | TRUSTING &gt;&gt; 2461 | TRW &gt;&gt; GDB925 | FMSI-VERBAND &gt;&gt; D0334 | MK Kashiyama &gt;&gt; D5022M | ASHIKA &gt;&gt; 5004424 | ASHIKA &gt;&gt; 5004418 | sbs &gt;&gt; 1501222607 | E.T.F. &gt;&gt; 349 | E.T.F. &gt;&gt; 120349 | DEX &gt;&gt; 22461 | SIMER &gt;&gt; 6611</t>
  </si>
  <si>
    <t>SPIDAN</t>
  </si>
  <si>
    <t xml:space="preserve"> &gt;&gt; Disc Brake | Length, mm &gt;&gt; 127,62 | Width, mm &gt;&gt; 48,64 | Thickness/Strength, mm &gt;&gt; 14 | Quality,  &gt;&gt; 300 | Weight, kg &gt;&gt; 1.176 | Axle Vers.,  &gt;&gt; Front | Techn. Info. No.,  &gt;&gt; 180750 | Brake System,  &gt;&gt; Akebono |  &gt;&gt; incl. wear warning contact</t>
  </si>
  <si>
    <t>Fitting Position &gt;&gt; Front Axle | Parameter &gt;&gt; 85-89</t>
  </si>
  <si>
    <t>HONDA &gt;&gt; 45022SE0931 | HONDA &gt;&gt; 45022SD2A12 | HONDA &gt;&gt; 45022SE0505 | HONDA &gt;&gt; 45022SE0911 | HONDA &gt;&gt; 45022SE0912 | HONDA &gt;&gt; 45022SE0910 | HONDA &gt;&gt; 45022SD2A13 | HONDA &gt;&gt; 45022SE0315 | HONDA &gt;&gt; 45022SE0325 | HONDA &gt;&gt; 45022SE0932 | HONDA &gt;&gt; 45022SD2A01 | HONDA &gt;&gt; 45022SD2A10 | HONDA &gt;&gt; 45022SD2A11 | HONDA &gt;&gt; 45022SD2A02 | HONDA &gt;&gt; 45022SD231277 | HONDA &gt;&gt; 45022SD2505 | HONDA &gt;&gt; 45022SD2506 | HONDA &gt;&gt; 45022SE0A11 | HONDA &gt;&gt; 45022SE0A03 | HONDA &gt;&gt; 45022SE0A10 | HONDA &gt;&gt; 45022SE0A00 | HONDA &gt;&gt; 45022SE0A01 | ACURA &gt;&gt; 1L0121253A | ATE &gt;&gt; 13046059182 | ATE &gt;&gt; 605918 | PAGID &gt;&gt; T0365 | LUCAS ELECTRICAL &gt;&gt; GDB925 | VALEO &gt;&gt; 598190 | BOSCH &gt;&gt; 0986460936 | TEXTAR &gt;&gt; 2009915005T4047 | TEXTAR &gt;&gt; 2009902 | JURID &gt;&gt; 572288 | BENDIX &gt;&gt; 572288 | FTE &gt;&gt; BL1021A2 | LOBRO &gt;&gt; 31277 | QUINTON HAZELL &gt;&gt; BP425 | FERODO &gt;&gt; FDB454 | BREMBO &gt;&gt; P28010 | MINTEX &gt;&gt; MDB1344 | DELPHI &gt;&gt; LP525 | MAGNETI MARELLI &gt;&gt; BP0984 | ROULUNDS RUBBER &gt;&gt; 496881 | DOYEN &gt;&gt; GDB0925 | NK &gt;&gt; 222607 | OPTIMAL &gt;&gt; 9457 | ROADHOUSE &gt;&gt; 222802 | REMSA &gt;&gt; 22802 | REMSA &gt;&gt; 222802 | ICER &gt;&gt; 180750396 | ICER &gt;&gt; 180750 | QH Benelux &gt;&gt; HP2489 | A.B.S. &gt;&gt; 36615 | MOPROD &gt;&gt; MDP1034 | TRW &gt;&gt; GDB925 | AKEBONO &gt;&gt; A211WK | FMSI-VERBAND &gt;&gt; D3347229 | HP (ZEBRA) &gt;&gt; HP2489 | MK Kashiyama &gt;&gt; D05022 | NECTO &gt;&gt; FD6290A | DON &gt;&gt; NDB155 | GIRLING &gt;&gt; 6109259 | WOKING &gt;&gt; 328302 | SIMER &gt;&gt; 06611 | FREN-J &gt;&gt; 496881 | FIRST LINE &gt;&gt; 1418</t>
  </si>
  <si>
    <t xml:space="preserve"> &gt;&gt; Disc Brake | Length, mm &gt;&gt; 129 | Width, mm &gt;&gt; 53 | Thickness/Strength, mm &gt;&gt; 17,5 | Quality,  &gt;&gt; 300 | Weight, kg &gt;&gt; 1.605 | Axle Vers.,  &gt;&gt; Front | Techn. Info. No.,  &gt;&gt; 180962 | Brake System,  &gt;&gt; Akebono |  &gt;&gt; incl. wear warning contact</t>
  </si>
  <si>
    <t>Fitting Position &gt;&gt; Front Axle | Parameter &gt;&gt; 90-90</t>
  </si>
  <si>
    <t>HONDA &gt;&gt; 45022SG0G11 | HONDA &gt;&gt; 45022SG0020 | HONDA &gt;&gt; 45022SG0335 | HONDA &gt;&gt; 45022SG0G10 | HONDA &gt;&gt; 45022SG0517 | HONDA &gt;&gt; 45022SG0315 | HONDA &gt;&gt; 45022SG0325 | HONDA &gt;&gt; 45022SK7000 | HONDA &gt;&gt; 45022SD4A13 | HONDA &gt;&gt; 45022SG0000 | HONDA &gt;&gt; 45022SG0010 | HONDA &gt;&gt; 45022SE0G10 | HONDA &gt;&gt; 45022S04A11 | HONDA &gt;&gt; 45022SD4020 | HONDA &gt;&gt; 45022SD4A11 | HONDA &gt;&gt; 45022SK7010 | HONDA &gt;&gt; 45022SR3N31 | ACURA &gt;&gt; 45022SG0G10 | ACURA &gt;&gt; 45022SG0010 | ATE &gt;&gt; 13046059222 | ATE &gt;&gt; 605922 | PAGID &gt;&gt; T0370 | LUCAS ELECTRICAL &gt;&gt; GDB3034 | VALEO &gt;&gt; 551745 | BOSCH &gt;&gt; 0986424260 | TEXTAR &gt;&gt; 2144601 | TEXTAR &gt;&gt; 2144617505T4047 | JURID &gt;&gt; 572309 | BENDIX &gt;&gt; 572309 | FTE &gt;&gt; BL1321A2 | LOBRO &gt;&gt; 31742 | QUINTON HAZELL &gt;&gt; BP548 | FERODO &gt;&gt; FDB748 | BREMBO &gt;&gt; P28013 | MINTEX &gt;&gt; MDB1589 | DELPHI &gt;&gt; LP665 | MAGNETI MARELLI &gt;&gt; BP0738 | ROULUNDS RUBBER &gt;&gt; 472681 | DOYEN &gt;&gt; GDB3034 | NK &gt;&gt; 222612 | OPTIMAL &gt;&gt; 9652 | ROADHOUSE &gt;&gt; 232302 | REMSA &gt;&gt; 32302 | REMSA &gt;&gt; 232302 | ICER &gt;&gt; 180962396 | ICER &gt;&gt; 180962 | QH Benelux &gt;&gt; HP2726 | A.B.S. &gt;&gt; 36708 | MOPROD &gt;&gt; MDP1080 | TRW &gt;&gt; GDB3034 | AKEBONO &gt;&gt; A274WK | FMSI-VERBAND &gt;&gt; D4097445 | FMSI-VERBAND &gt;&gt; D4097235 | HP (ZEBRA) &gt;&gt; HP2726 | MK Kashiyama &gt;&gt; D05050 | NECTO &gt;&gt; FD6535A | MGA &gt;&gt; 413 | GIRLING &gt;&gt; 6130349 | WOKING &gt;&gt; 223302 | SIMER &gt;&gt; 04311 | FREN-J &gt;&gt; 472681 | FIRST LINE &gt;&gt; 1366</t>
  </si>
  <si>
    <t>HELLA</t>
  </si>
  <si>
    <t>Width, mm &gt;&gt; 88,8 | Height, mm &gt;&gt; 35,1 | Thickness/Strength, mm &gt;&gt; 13 |  &gt;&gt; with acoustic wear warning | Number of Wear Indicators, Per axle &gt;&gt; 2 | WVA Number,  &gt;&gt; 21312 | Brake System,  &gt;&gt; Akebono | Techn. Info. No.,  &gt;&gt; T0034</t>
  </si>
  <si>
    <t>HONDA &gt;&gt; 06022SP8000 | HONDA &gt;&gt; 43022SE0506 | HONDA &gt;&gt; 43022SE0931 | HONDA &gt;&gt; 43022SE0S00 | HONDA &gt;&gt; 43022SF1000 | HONDA &gt;&gt; 43022SE0N50 | HONDA &gt;&gt; 43022SR3030 | HONDA &gt;&gt; 43022SE0526 | HONDA &gt;&gt; 43022SE0930 | HONDA &gt;&gt; 43022ST3E50HE | HONDA &gt;&gt; 43022SR3506 | HONDA &gt;&gt; 43022SE0525 | HONDA &gt;&gt; 43022ST3E50 | HONDA &gt;&gt; 43022ST3E00 | HONDA &gt;&gt; 43022SF1010 | HONDA &gt;&gt; 43022SAAE50 | HONDA &gt;&gt; 43022SD2505 | HONDA &gt;&gt; 43022SD2930 | HONDA &gt;&gt; 43022SR3010 | HONDA &gt;&gt; 43022SR3000 | HONDA &gt;&gt; 43022SK3E00 | HONDA &gt;&gt; 43022SK7000 | HONDA &gt;&gt; 43022SH3932 | HONDA &gt;&gt; 43022SD2307 | HONDA &gt;&gt; 43022SH3J00 | HONDA &gt;&gt; 43022SH3G01 | HONDA &gt;&gt; 43022SH3G00 | HONDA &gt;&gt; 43022SF1505 | HONDA &gt;&gt; 43022SF1S00 | HONDA &gt;&gt; 43022S04010 | HONDA &gt;&gt; 43022SH3931 | HONDA &gt;&gt; 43022SH3305 | HONDA &gt;&gt; 43022SF1S01 | HONDA &gt;&gt; 43022SF1515 | HONDA &gt;&gt; 43022SF1525 | MG &gt;&gt; GBP90347AF | OPEL &gt;&gt; 1605731 | ROVER &gt;&gt; GBP90316AF | ROVER &gt;&gt; GBP90316 | ROVER &gt;&gt; EJP1437 | VAUXHALL &gt;&gt; 90297552 | ATE &gt;&gt; 13046059982 | ATE &gt;&gt; 605998 | PAGID &gt;&gt; T0034 | VALEO &gt;&gt; 551728 | VALEO &gt;&gt; 598053 | BOSCH &gt;&gt; 0986461131 | BOSCH &gt;&gt; BP582 | BOSCH &gt;&gt; 0986494128 | TEXTAR &gt;&gt; TX0175 | TEXTAR &gt;&gt; 2131201 | JURID &gt;&gt; 572135J | JURID &gt;&gt; 571977J | JURID &gt;&gt; 572136J | JURID &gt;&gt; 572137J | BENDIX &gt;&gt; 572136B | BENDIX &gt;&gt; 572135B | BENDIX &gt;&gt; 571977B | FTE &gt;&gt; BL1288A2 | HERTH+BUSS JAKOPARTS &gt;&gt; J3614003 | HERTH+BUSS JAKOPARTS &gt;&gt; J3614004 | HERTH+BUSS JAKOPARTS &gt;&gt; J3614002 | QUINTON HAZELL &gt;&gt; 2638 | QUINTON HAZELL &gt;&gt; BP470 | QUINTON HAZELL &gt;&gt; BP448 | FERODO &gt;&gt; FDB621 | FERODO &gt;&gt; FDB472 | BREMBO &gt;&gt; P28011 | BREMBO &gt;&gt; P28017 | MINTEX &gt;&gt; MDB1411 | DELPHI &gt;&gt; LP772 | DELPHI &gt;&gt; LP625 | DELPHI &gt;&gt; LP562 | MAGNETI MARELLI &gt;&gt; T0034MM | MAGNETI MARELLI &gt;&gt; 363700200034 | ROULUNDS RUBBER &gt;&gt; 456381 | NK &gt;&gt; 229972 | NK &gt;&gt; 222608 | OPTIMAL &gt;&gt; 9572 | OPTIMAL &gt;&gt; 9672 | ROADHOUSE &gt;&gt; 223312 | ROADHOUSE &gt;&gt; 223302 | REMSA &gt;&gt; 23302 | REMSA &gt;&gt; 023302 | JAPANPARTS &gt;&gt; PP425AF | JAPANPARTS &gt;&gt; PP404AF | A.B.S. &gt;&gt; 36636 | AUGROS &gt;&gt; 55585210 | TRW &gt;&gt; GDB499 | AKEBONO &gt;&gt; AN265WK | AKEBONO &gt;&gt; AN207K | ROULUNDS BRAKING &gt;&gt; 456381 | NIPPARTS &gt;&gt; J3614004 | MGA &gt;&gt; 305 | MGA &gt;&gt; 492 | RHIAG &gt;&gt; 13524 | APEC braking &gt;&gt; PAD811 | APEC braking &gt;&gt; PAD611 | COBREQ &gt;&gt; N1458 | HELLA PAGID &gt;&gt; 355005731 | GIRLING &gt;&gt; 6104999 | BLUE PRINT &gt;&gt; ADH24254 | BLUE PRINT &gt;&gt; ADH24209 | COMLINE &gt;&gt; CBP3242 | COMLINE &gt;&gt; CBP0460 | COMLINE &gt;&gt; ADB3242 | COMLINE &gt;&gt; ADB0460 | STOP &gt;&gt; 571977S | WAGNER &gt;&gt; WBP21312A | NISSHINBO &gt;&gt; PF8266 | NISSHINBO &gt;&gt; PF8206 | BENDIX-AU &gt;&gt; DB1195 | BENDIX-AU &gt;&gt; DB1163 | EBC BRAKES &gt;&gt; DP6422 | EBC BRAKES &gt;&gt; DP642 | EBC BRAKES &gt;&gt; DP46422R | EBC BRAKES &gt;&gt; DP26422</t>
  </si>
  <si>
    <t>Width, mm &gt;&gt; 127,5 | Height, mm &gt;&gt; 48,4 | Thickness/Strength, mm &gt;&gt; 15 |  &gt;&gt; with acoustic wear warning | WVA Number,  &gt;&gt; 20099 | Brake System,  &gt;&gt; Akebono | Techn. Info. No.,  &gt;&gt; T0365</t>
  </si>
  <si>
    <t>HONDA &gt;&gt; 45022SD2519 | HONDA &gt;&gt; 45022SD2506 | HONDA &gt;&gt; 45022SD2509 | HONDA &gt;&gt; 45022SD2518 | HONDA &gt;&gt; 45022SE0505 | HONDA &gt;&gt; 45022SE0325 | HONDA &gt;&gt; 45022SE0315 | HONDA &gt;&gt; 45022SE0316 | HONDA &gt;&gt; 45022SD2A11 | HONDA &gt;&gt; 45022SD2508 | HONDA &gt;&gt; 45022SE0306 | HONDA &gt;&gt; 45022SD2A13 | HONDA &gt;&gt; 45022SD2A12 | HONDA &gt;&gt; 45022SE0507 | HONDA &gt;&gt; 45022SB2780 | HONDA &gt;&gt; 45022SD2505 | HONDA &gt;&gt; 45022SD2A10 | HONDA &gt;&gt; 45022SEOA01 | HONDA &gt;&gt; 45022SD2A03 | HONDA &gt;&gt; 45022SE1911 | HONDA &gt;&gt; 45022SE1910 | HONDA &gt;&gt; 45022SD2A01 | HONDA &gt;&gt; 45022SD2A02 | HONDA &gt;&gt; 45022SE1505 | HONDA &gt;&gt; 45022SE0A01 | HONDA &gt;&gt; 45022SE0932 | HONDA &gt;&gt; 45022SE0A00 | HONDA &gt;&gt; 45022SE0515 | HONDA &gt;&gt; 45022SD2529 | HONDA &gt;&gt; 45022SD2A00 | HONDA &gt;&gt; 45022SE0931 | HONDA &gt;&gt; 45022SE0930 | HONDA &gt;&gt; 45022SE0911 | HONDA &gt;&gt; 45022SE0912 | HONDA &gt;&gt; 45022SD2528 | HONDA &gt;&gt; 45022SE0517 | HONDA &gt;&gt; 45022SE0527 | ATE &gt;&gt; 605918 | ATE &gt;&gt; 13046059182 | PAGID &gt;&gt; T0365 | VALEO &gt;&gt; 551610 | VALEO &gt;&gt; 540438 | VALEO &gt;&gt; 168420 | BOSCH &gt;&gt; BP506 | BOSCH &gt;&gt; 0986460936 | TEXTAR &gt;&gt; 2009902 | TEXTAR &gt;&gt; TX0223 | JURID &gt;&gt; 572288J | JURID &gt;&gt; 572287J | BENDIX &gt;&gt; 572288B | BENDIX &gt;&gt; 572287B | FTE &gt;&gt; BL1021A2 | HERTH+BUSS JAKOPARTS &gt;&gt; J3604024 | HERTH+BUSS JAKOPARTS &gt;&gt; J3604018 | QUINTON HAZELL &gt;&gt; BP425 | QUINTON HAZELL &gt;&gt; 2525 | QUINTON HAZELL &gt;&gt; 2489 | FERODO &gt;&gt; FDB454 | BREMBO &gt;&gt; P28010 | MINTEX &gt;&gt; MDB1586 | MINTEX &gt;&gt; MDB1344 | DELPHI &gt;&gt; LP721 | DELPHI &gt;&gt; LP525 | MAGNETI MARELLI &gt;&gt; T0365MM | OPTIMAL &gt;&gt; 9515 | A.B.S. &gt;&gt; 36615 | AUGROS &gt;&gt; 55585145 | TRW &gt;&gt; GDB925 | TRW &gt;&gt; GDB784 | AKEBONO &gt;&gt; AN211WK | RHIAG &gt;&gt; 09976 | APEC braking &gt;&gt; PAD450 | HELLA PAGID &gt;&gt; 355006261 | BLUE PRINT &gt;&gt; ADH24216 | NISSHINBO &gt;&gt; PF8127 | BENDIX-AU &gt;&gt; DB429 | EBC BRAKES &gt;&gt; DP623 | EBC BRAKES &gt;&gt; DP2623</t>
  </si>
  <si>
    <t xml:space="preserve">Width, mm &gt;&gt; 127,7 | Height, mm &gt;&gt; 48,7 | Thickness/Strength, mm &gt;&gt; 15 |  &gt;&gt; with acoustic wear warning | Brake System,  &gt;&gt; Akebono | Appr. stamp,  &gt;&gt; E1 90R-01208/111 | MAPP code available,  &gt;&gt; </t>
  </si>
  <si>
    <t>from construction year &gt;&gt; 05/1986 | to construction year &gt;&gt; 05/1990 | Fitting Position &gt;&gt; Front Axle</t>
  </si>
  <si>
    <t>HONDA &gt;&gt; 45022SD2506 | HONDA &gt;&gt; 45022SE0911 | HONDA &gt;&gt; 45022SE0A10 | HONDA &gt;&gt; 45022SE0A12 | HONDA &gt;&gt; 45022SE0A11 | HONDA &gt;&gt; 45022SE0912 | HONDA &gt;&gt; 45022SE0A00 | HONDA &gt;&gt; 45022SE0A01 | HONDA &gt;&gt; 45022SD2A10 | HONDA &gt;&gt; 45022SD2A12 | HONDA &gt;&gt; 45022SE0505 | HONDA &gt;&gt; 45022SE0910 | HONDA &gt;&gt; 45022SD2A13 | HONDA &gt;&gt; 45022SD2A11 | HELLA &gt;&gt; 8DB355006261 | PAGID &gt;&gt; T0365 | VALEO &gt;&gt; 551610 | BOSCH &gt;&gt; 0986AB2652 | BOSCH &gt;&gt; 0986460936 | TEXTAR &gt;&gt; 2009915005 | TEXTAR &gt;&gt; 2009915004 | TEXTAR &gt;&gt; 2009914005 | TEXTAR &gt;&gt; 2009902 | TEXTAR &gt;&gt; 2009901 | JURID &gt;&gt; 572288J | JURID &gt;&gt; 572287J | BENDIX &gt;&gt; 572288B | BENDIX &gt;&gt; 572287B | FTE &gt;&gt; BL1021A2 | HERTH+BUSS JAKOPARTS &gt;&gt; J3604018 | QUINTON HAZELL &gt;&gt; BP425 | QUINTON HAZELL &gt;&gt; BLF425 | QUINTON HAZELL &gt;&gt; 022802 | FERODO &gt;&gt; TAR454 | FERODO &gt;&gt; FDB454 | FERODO &gt;&gt; FDB1353 | BREMBO &gt;&gt; P28010 | MINTEX &gt;&gt; MDB1586 | MINTEX &gt;&gt; MDB1344 | PEX &gt;&gt; 7325 | PEX &gt;&gt; 7264 | ZIMMERMANN &gt;&gt; 200991502 | ZIMMERMANN &gt;&gt; 200991501 | DELPHI &gt;&gt; LP525 | NK &gt;&gt; 222607 | ROADHOUSE &gt;&gt; 222802 | REMSA &gt;&gt; 022802 | ICER &gt;&gt; 180750 | LPR &gt;&gt; 05P073 | TRW &gt;&gt; GDB925 | TRW &gt;&gt; GDB784 | JAPCAR &gt;&gt; 168957 | AISIN &gt;&gt; AS193M | ROULUNDS BRAKING &gt;&gt; 496881 | NECTO &gt;&gt; FD6290 | NIPPARTS &gt;&gt; J3604024 | NIPPARTS &gt;&gt; J3604018 | HELLA PAGID &gt;&gt; 8DB355006261</t>
  </si>
  <si>
    <t>PAGID</t>
  </si>
  <si>
    <t>Width, mm &gt;&gt; 88,8 | Height, mm &gt;&gt; 35,1 | Thickness/Strength, mm &gt;&gt; 13 |  &gt;&gt; with acoustic wear warning | Number of Wear Indicators, Per axle &gt;&gt; 2 | WVA Number,  &gt;&gt; 21312 | Brake System,  &gt;&gt; Akebono</t>
  </si>
  <si>
    <t>HONDA &gt;&gt; 43022SD2505 | HONDA &gt;&gt; 43022SE0506 | HONDA &gt;&gt; 43022SE0525 | HONDA &gt;&gt; 43022ST3E00 | HONDA &gt;&gt; 43022SD2930 | HONDA &gt;&gt; 43022ST3E50HE | HONDA &gt;&gt; 43022ST3E50 | HONDA &gt;&gt; 43022SAAE50 | HONDA &gt;&gt; 43022SD2307 | HONDA &gt;&gt; 43022SR3506 | HONDA &gt;&gt; 43022SR3030 | HONDA &gt;&gt; 43022SR3000 | HONDA &gt;&gt; 43022SR3010 | HONDA &gt;&gt; 43022SH3G01 | HONDA &gt;&gt; 43022S04010 | HONDA &gt;&gt; 43022SK7000 | HONDA &gt;&gt; 43022SK3E00 | HONDA &gt;&gt; 43022SH3J00 | HONDA &gt;&gt; 43022SH3305 | HONDA &gt;&gt; 43022SH3932 | HONDA &gt;&gt; 43022SH3G00 | HONDA &gt;&gt; 43022SH3931 | HONDA &gt;&gt; 43022SF1515 | HONDA &gt;&gt; 43022SF1S00 | HONDA &gt;&gt; 43022SF1S01 | HONDA &gt;&gt; 43022SF1525 | HONDA &gt;&gt; 43022SE0S00 | HONDA &gt;&gt; 43022SF1010 | HONDA &gt;&gt; 43022SF1505 | HONDA &gt;&gt; 43022SF1000 | HONDA &gt;&gt; 06022SP8000 | HONDA &gt;&gt; 43022SE0931 | HONDA &gt;&gt; 43022SE0N50 | HONDA &gt;&gt; 43022SE0526 | HONDA &gt;&gt; 43022SE0930 | MG &gt;&gt; GBP90347AF | OPEL &gt;&gt; 1605731 | ROVER &gt;&gt; GBP90316AF | ROVER &gt;&gt; GBP90316 | ROVER &gt;&gt; EJP1437 | VAUXHALL &gt;&gt; 90297552 | ATE &gt;&gt; 13046059982 | ATE &gt;&gt; 605998 | VALEO &gt;&gt; 551728 | VALEO &gt;&gt; 598053 | BOSCH &gt;&gt; BP582 | BOSCH &gt;&gt; 0986494128 | BOSCH &gt;&gt; 0986461131 | TEXTAR &gt;&gt; TX0175 | TEXTAR &gt;&gt; 2131201 | JURID &gt;&gt; 572137J | JURID &gt;&gt; 572136J | JURID &gt;&gt; 572135J | JURID &gt;&gt; 571977J | BENDIX &gt;&gt; 572136B | BENDIX &gt;&gt; 572135B | BENDIX &gt;&gt; 571977B | FTE &gt;&gt; BL1288A2 | HERTH+BUSS JAKOPARTS &gt;&gt; J3614004 | HERTH+BUSS JAKOPARTS &gt;&gt; J3614003 | HERTH+BUSS JAKOPARTS &gt;&gt; J3614002 | QUINTON HAZELL &gt;&gt; BP470 | QUINTON HAZELL &gt;&gt; BP448 | QUINTON HAZELL &gt;&gt; 2638 | FERODO &gt;&gt; FDB472 | FERODO &gt;&gt; FDB621 | BREMBO &gt;&gt; P28017 | BREMBO &gt;&gt; P28011 | MINTEX &gt;&gt; MDB1411 | DELPHI &gt;&gt; LP772 | DELPHI &gt;&gt; LP625 | DELPHI &gt;&gt; LP562 | MAGNETI MARELLI &gt;&gt; T0034MM | MAGNETI MARELLI &gt;&gt; 363700200034 | ROULUNDS RUBBER &gt;&gt; 456381 | NK &gt;&gt; 222608 | NK &gt;&gt; 229972 | OPTIMAL &gt;&gt; 9672 | OPTIMAL &gt;&gt; 9572 | ROADHOUSE &gt;&gt; 223312 | ROADHOUSE &gt;&gt; 223302 | REMSA &gt;&gt; 023302 | REMSA &gt;&gt; 23302 | JAPANPARTS &gt;&gt; PP425AF | JAPANPARTS &gt;&gt; PP404AF | A.B.S. &gt;&gt; 36636 | AUGROS &gt;&gt; 55585210 | TRW &gt;&gt; GDB499 | AKEBONO &gt;&gt; AN265WK | AKEBONO &gt;&gt; AN207K | ROULUNDS BRAKING &gt;&gt; 456381 | NIPPARTS &gt;&gt; J3614004 | MGA &gt;&gt; 492 | MGA &gt;&gt; 305 | RHIAG &gt;&gt; 13524 | APEC braking &gt;&gt; PAD811 | APEC braking &gt;&gt; PAD611 | COBREQ &gt;&gt; N1458 | HELLA PAGID &gt;&gt; 355005731 | HELLA PAGID &gt;&gt; 8DB355005731 | GIRLING &gt;&gt; 6104999 | BLUE PRINT &gt;&gt; ADH24254 | BLUE PRINT &gt;&gt; ADH24209 | COMLINE &gt;&gt; CBP3242 | COMLINE &gt;&gt; CBP0460 | COMLINE &gt;&gt; ADB3242 | COMLINE &gt;&gt; ADB0460 | STOP &gt;&gt; 571977S | WAGNER &gt;&gt; WBP21312A | NISSHINBO &gt;&gt; PF8266 | NISSHINBO &gt;&gt; PF8206 | BENDIX-AU &gt;&gt; DB1195 | BENDIX-AU &gt;&gt; DB1163 | EBC BRAKES &gt;&gt; DP6422 | EBC BRAKES &gt;&gt; DP642 | EBC BRAKES &gt;&gt; DP46422R | EBC BRAKES &gt;&gt; DP26422</t>
  </si>
  <si>
    <t>Width, mm &gt;&gt; 127,5 | Height, mm &gt;&gt; 48,4 | Thickness/Strength, mm &gt;&gt; 15 |  &gt;&gt; with acoustic wear warning | WVA Number,  &gt;&gt; 20099 | Brake System,  &gt;&gt; Akebono</t>
  </si>
  <si>
    <t>HONDA &gt;&gt; 45022SD2519 | HONDA &gt;&gt; 45022SD2506 | HONDA &gt;&gt; 45022SD2509 | HONDA &gt;&gt; 45022SD2518 | HONDA &gt;&gt; 45022SE0505 | HONDA &gt;&gt; 45022SE0325 | HONDA &gt;&gt; 45022SE0315 | HONDA &gt;&gt; 45022SE0316 | HONDA &gt;&gt; 45022SD2A11 | HONDA &gt;&gt; 45022SD2508 | HONDA &gt;&gt; 45022SE0306 | HONDA &gt;&gt; 45022SD2A13 | HONDA &gt;&gt; 45022SD2A12 | HONDA &gt;&gt; 45022SE0507 | HONDA &gt;&gt; 45022SB2780 | HONDA &gt;&gt; 45022SD2505 | HONDA &gt;&gt; 45022SD2A10 | HONDA &gt;&gt; 45022SEOA01 | HONDA &gt;&gt; 45022SD2A03 | HONDA &gt;&gt; 45022SE1911 | HONDA &gt;&gt; 45022SE1910 | HONDA &gt;&gt; 45022SD2A01 | HONDA &gt;&gt; 45022SD2A02 | HONDA &gt;&gt; 45022SE1505 | HONDA &gt;&gt; 45022SE0A01 | HONDA &gt;&gt; 45022SE0932 | HONDA &gt;&gt; 45022SE0A00 | HONDA &gt;&gt; 45022SE0515 | HONDA &gt;&gt; 45022SD2529 | HONDA &gt;&gt; 45022SD2A00 | HONDA &gt;&gt; 45022SE0931 | HONDA &gt;&gt; 45022SE0930 | HONDA &gt;&gt; 45022SE0911 | HONDA &gt;&gt; 45022SE0912 | HONDA &gt;&gt; 45022SD2528 | HONDA &gt;&gt; 45022SE0517 | HONDA &gt;&gt; 45022SE0527 | ATE &gt;&gt; 605918 | ATE &gt;&gt; 13046059182 | VALEO &gt;&gt; 551610 | VALEO &gt;&gt; 540438 | VALEO &gt;&gt; 168420 | BOSCH &gt;&gt; BP506 | BOSCH &gt;&gt; 0986460936 | TEXTAR &gt;&gt; 2009902 | TEXTAR &gt;&gt; TX0223 | JURID &gt;&gt; 572288J | JURID &gt;&gt; 572287J | BENDIX &gt;&gt; 572288B | BENDIX &gt;&gt; 572287B | FTE &gt;&gt; BL1021A2 | HERTH+BUSS JAKOPARTS &gt;&gt; J3604024 | HERTH+BUSS JAKOPARTS &gt;&gt; J3604018 | QUINTON HAZELL &gt;&gt; BP425 | QUINTON HAZELL &gt;&gt; 2525 | QUINTON HAZELL &gt;&gt; 2489 | FERODO &gt;&gt; FDB454 | BREMBO &gt;&gt; P28010 | MINTEX &gt;&gt; MDB1344 | MINTEX &gt;&gt; MDB1586 | DELPHI &gt;&gt; LP721 | DELPHI &gt;&gt; LP525 | MAGNETI MARELLI &gt;&gt; T0365MM | OPTIMAL &gt;&gt; 9515 | A.B.S. &gt;&gt; 36615 | AUGROS &gt;&gt; 55585145 | TRW &gt;&gt; GDB784 | TRW &gt;&gt; GDB925 | AKEBONO &gt;&gt; AN211WK | RHIAG &gt;&gt; 09976 | APEC braking &gt;&gt; PAD450 | HELLA PAGID &gt;&gt; 8DB355006261 | HELLA PAGID &gt;&gt; 355006261 | BLUE PRINT &gt;&gt; ADH24216 | NISSHINBO &gt;&gt; PF8127 | BENDIX-AU &gt;&gt; DB429 | EBC BRAKES &gt;&gt; DP2623 | EBC BRAKES &gt;&gt; DP623</t>
  </si>
  <si>
    <t>Fitting Position,  &gt;&gt; Rear Axle | Brake System,  &gt;&gt; AKEBONO | Outer Width, mm &gt;&gt; 89 | Height 1, mm &gt;&gt; 35,2 | Thickness/Strength, mm &gt;&gt; 13 | WVA Number,  &gt;&gt; 21312 |  &gt;&gt; incl. wear warning contact | Number of Wear Indicators, Per axle &gt;&gt; 2 |  &gt;&gt; with acoustic wear warning</t>
  </si>
  <si>
    <t>ATE &gt;&gt; 13046059982 | ICER &gt;&gt; 180753701 | ICER &gt;&gt; 180753</t>
  </si>
  <si>
    <t>Fitting Position,  &gt;&gt; Rear Axle | Brake System,  &gt;&gt; LUCAS | Outer Width, mm &gt;&gt; 114 | Height 1, mm &gt;&gt; 54,9 | Thickness/Strength, mm &gt;&gt; 14,5 | WVA Number,  &gt;&gt; 23237</t>
  </si>
  <si>
    <t>CHEVROLET &gt;&gt; 96391892 | DAEWOO &gt;&gt; S4521006 | DAEWOO &gt;&gt; S4521001 | DAEWOO &gt;&gt; 96245179 | DAEWOO &gt;&gt; 96391892 | DAEWOO &gt;&gt; 96253368 | ATE &gt;&gt; 13046059932 | PAGID &gt;&gt; T1253 | LUCAS ELECTRICAL &gt;&gt; 6131721 | LUCAS ELECTRICAL &gt;&gt; GDB3172 | VALEO &gt;&gt; 301902 | BOSCH &gt;&gt; 0986424474 | BOSCH &gt;&gt; 986424474 | BOSCH &gt;&gt; 986424757 | BOSCH &gt;&gt; 0986424757 | TEXTAR &gt;&gt; 23237 | TEXTAR &gt;&gt; 2323714514 | TEXTAR &gt;&gt; 7669D724 | TEXTAR &gt;&gt; 7591D724 | TEXTAR &gt;&gt; 2323701 | JURID &gt;&gt; 572407J | JURID &gt;&gt; 572406J | BENDIX &gt;&gt; 572407B | BENDIX &gt;&gt; 572406B | FTE &gt;&gt; BL1705A3 | QUINTON HAZELL &gt;&gt; 64610 | QUINTON HAZELL &gt;&gt; BP1070 | QUINTON HAZELL &gt;&gt; BLF1070 | QUINTON HAZELL &gt;&gt; 064610 | FERODO &gt;&gt; TAR1336 | FERODO &gt;&gt; FDB1336 | FERODO &gt;&gt; FSL1336 | BREMBO &gt;&gt; P15005 | MINTEX &gt;&gt; MDB1899 | DELPHI &gt;&gt; LP1424 | ROULUNDS RUBBER &gt;&gt; 666181 | METELLI &gt;&gt; 2203690 | NK &gt;&gt; 1501225003 | ROADHOUSE &gt;&gt; 264610 | REMSA &gt;&gt; 064610 | REMSA &gt;&gt; 64610 | JAPANPARTS &gt;&gt; PP398AF | ICER &gt;&gt; 181261396 | ICER &gt;&gt; 181261 | A.B.S. &gt;&gt; 37054 | LPR &gt;&gt; 5P694 | LPR &gt;&gt; 05P694 | TRUSTING &gt;&gt; 3780 | TRW &gt;&gt; GDB3172 | ASHIKA &gt;&gt; 5103398 | NIPPARTS &gt;&gt; J3610901 | MGA &gt;&gt; 612 | sbs &gt;&gt; 1501225003 | DEX &gt;&gt; 3780 | NPS &gt;&gt; D361O02</t>
  </si>
  <si>
    <t>TEXTAR</t>
  </si>
  <si>
    <t>Width, mm &gt;&gt; 127,5 | Height, mm &gt;&gt; 48,4 | Thickness/Strength, mm &gt;&gt; 15 |  &gt;&gt; with acoustic wear warning | WVA Number,  &gt;&gt; 20099 | Brake System,  &gt;&gt; Akebono | Techn. Info. No.,  &gt;&gt; 20099 150  0 5</t>
  </si>
  <si>
    <t>HONDA &gt;&gt; 45022SD2528 | HONDA &gt;&gt; 45022SD2508 | HONDA &gt;&gt; 45022SD2518 | HONDA &gt;&gt; 45022SD2519 | HONDA &gt;&gt; 45022SE0507 | HONDA &gt;&gt; 45022SE0505 | HONDA &gt;&gt; 45022SE0316 | HONDA &gt;&gt; 45022SE0325 | HONDA &gt;&gt; 45022SD2A12 | HONDA &gt;&gt; 45022SD2509 | HONDA &gt;&gt; 45022SE0315 | HONDA &gt;&gt; 45022SE0306 | HONDA &gt;&gt; 45022SD2A13 | HONDA &gt;&gt; 45022SE0515 | HONDA &gt;&gt; 45022SD2505 | HONDA &gt;&gt; 45022SD2506 | HONDA &gt;&gt; 45022SD2A11 | HONDA &gt;&gt; 45022SD2A10 | HONDA &gt;&gt; 45022SEOA01 | HONDA &gt;&gt; 45022SE1911 | HONDA &gt;&gt; 45022SD2A02 | HONDA &gt;&gt; 45022SD2A03 | HONDA &gt;&gt; 45022SE1910 | HONDA &gt;&gt; 45022SE1505 | HONDA &gt;&gt; 45022SE0A00 | HONDA &gt;&gt; 45022SE0A01 | HONDA &gt;&gt; 45022SE0517 | HONDA &gt;&gt; 45022SB2780 | HONDA &gt;&gt; 45022SD2A01 | HONDA &gt;&gt; 45022SE0932 | HONDA &gt;&gt; 45022SE0931 | HONDA &gt;&gt; 45022SD2A00 | HONDA &gt;&gt; 45022SE0930 | HONDA &gt;&gt; 45022SE0912 | HONDA &gt;&gt; 45022SD2529 | HONDA &gt;&gt; 45022SE0527 | HONDA &gt;&gt; 45022SE0911 | ATE &gt;&gt; 605918 | ATE &gt;&gt; 13046059182 | PAGID &gt;&gt; T0365 | VALEO &gt;&gt; 551610 | VALEO &gt;&gt; 540438 | VALEO &gt;&gt; 168420 | BOSCH &gt;&gt; BP506 | BOSCH &gt;&gt; 0986460936 | TEXTAR &gt;&gt; TX0223 | JURID &gt;&gt; 572288J | JURID &gt;&gt; 572287J | BENDIX &gt;&gt; 572288B | BENDIX &gt;&gt; 572287B | FTE &gt;&gt; BL1021A2 | HERTH+BUSS JAKOPARTS &gt;&gt; J3604024 | HERTH+BUSS JAKOPARTS &gt;&gt; J3604018 | QUINTON HAZELL &gt;&gt; BP425 | QUINTON HAZELL &gt;&gt; 2525 | QUINTON HAZELL &gt;&gt; 2489 | FERODO &gt;&gt; FDB454 | BREMBO &gt;&gt; P28010 | MINTEX &gt;&gt; MDB1586 | MINTEX &gt;&gt; MDB1344 | DELPHI &gt;&gt; LP721 | DELPHI &gt;&gt; LP525 | MAGNETI MARELLI &gt;&gt; T0365MM | OPTIMAL &gt;&gt; 9515 | A.B.S. &gt;&gt; 36615 | AUGROS &gt;&gt; 55585145 | TRW &gt;&gt; GDB925 | TRW &gt;&gt; GDB784 | AKEBONO &gt;&gt; AN211WK | RHIAG &gt;&gt; 09976 | APEC braking &gt;&gt; PAD450 | HELLA PAGID &gt;&gt; 355006261 | HELLA PAGID &gt;&gt; 8DB355006261 | BLUE PRINT &gt;&gt; ADH24216 | NISSHINBO &gt;&gt; PF8127 | BENDIX-AU &gt;&gt; DB429 | EBC BRAKES &gt;&gt; DP623 | EBC BRAKES &gt;&gt; DP2623</t>
  </si>
  <si>
    <t>Width, mm &gt;&gt; 88,8 | Height, mm &gt;&gt; 35,1 | Thickness/Strength, mm &gt;&gt; 13 |  &gt;&gt; with acoustic wear warning | WVA Number,  &gt;&gt; 21312 | Brake System,  &gt;&gt; Akebono | Techn. Info. No.,  &gt;&gt; 21312 130  0 5</t>
  </si>
  <si>
    <t>HONDA &gt;&gt; 06022SP8000 | HONDA &gt;&gt; 43022SE0525 | HONDA &gt;&gt; 43022SE0N50 | HONDA &gt;&gt; 43022SF1000 | HONDA &gt;&gt; 43022SF1010 | HONDA &gt;&gt; 43022SE0S00 | HONDA &gt;&gt; 43022SR3506 | HONDA &gt;&gt; 43022SE0930 | HONDA &gt;&gt; 43022SE0931 | HONDA &gt;&gt; 43022ST3E00 | HONDA &gt;&gt; 43022SE0526 | HONDA &gt;&gt; 43022ST3E50HE | HONDA &gt;&gt; 43022ST3E50 | HONDA &gt;&gt; 43022SF1505 | HONDA &gt;&gt; 43022SD2307 | HONDA &gt;&gt; 43022SD2930 | HONDA &gt;&gt; 43022SE0506 | HONDA &gt;&gt; 43022SR3030 | HONDA &gt;&gt; 43022SR3010 | HONDA &gt;&gt; 43022SK7000 | HONDA &gt;&gt; 43022SR3000 | HONDA &gt;&gt; 43022SH3G00 | HONDA &gt;&gt; 43022SD2505 | HONDA &gt;&gt; 43022SK3E00 | HONDA &gt;&gt; 43022SH3J00 | HONDA &gt;&gt; 43022SH3G01 | HONDA &gt;&gt; 43022SF1515 | HONDA &gt;&gt; 43022S04010 | HONDA &gt;&gt; 43022SAAE50 | HONDA &gt;&gt; 43022SH3932 | HONDA &gt;&gt; 43022SH3931 | HONDA &gt;&gt; 43022SF1S01 | HONDA &gt;&gt; 43022SH3305 | HONDA &gt;&gt; 43022SF1525 | HONDA &gt;&gt; 43022SF1S00 | MG &gt;&gt; GBP90347AF | OPEL &gt;&gt; 1605731 | ROVER &gt;&gt; GBP90316AF | ROVER &gt;&gt; GBP90316 | ROVER &gt;&gt; EJP1437 | VAUXHALL &gt;&gt; 90297552 | ATE &gt;&gt; 13046059982 | ATE &gt;&gt; 605998 | PAGID &gt;&gt; T0034 | VALEO &gt;&gt; 551728 | VALEO &gt;&gt; 598053 | BOSCH &gt;&gt; 0986461131 | BOSCH &gt;&gt; BP582 | BOSCH &gt;&gt; 0986494128 | TEXTAR &gt;&gt; TX0175 | JURID &gt;&gt; 572136J | JURID &gt;&gt; 572135J | JURID &gt;&gt; 571977J | JURID &gt;&gt; 572137J | BENDIX &gt;&gt; 572136B | BENDIX &gt;&gt; 572135B | BENDIX &gt;&gt; 571977B | FTE &gt;&gt; BL1288A2 | HERTH+BUSS JAKOPARTS &gt;&gt; J3614003 | HERTH+BUSS JAKOPARTS &gt;&gt; J3614004 | HERTH+BUSS JAKOPARTS &gt;&gt; J3614002 | QUINTON HAZELL &gt;&gt; 2638 | QUINTON HAZELL &gt;&gt; BP470 | QUINTON HAZELL &gt;&gt; BP448 | FERODO &gt;&gt; FDB621 | FERODO &gt;&gt; FDB472 | BREMBO &gt;&gt; P28011 | BREMBO &gt;&gt; P28017 | MINTEX &gt;&gt; MDB1411 | DELPHI &gt;&gt; LP772 | DELPHI &gt;&gt; LP625 | DELPHI &gt;&gt; LP562 | MAGNETI MARELLI &gt;&gt; T0034MM | MAGNETI MARELLI &gt;&gt; 363700200034 | ROULUNDS RUBBER &gt;&gt; 456381 | NK &gt;&gt; 229972 | NK &gt;&gt; 222608 | OPTIMAL &gt;&gt; 9572 | OPTIMAL &gt;&gt; 9672 | ROADHOUSE &gt;&gt; 223312 | ROADHOUSE &gt;&gt; 223302 | REMSA &gt;&gt; 23302 | REMSA &gt;&gt; 023302 | JAPANPARTS &gt;&gt; PP404AF | JAPANPARTS &gt;&gt; PP425AF | A.B.S. &gt;&gt; 36636 | AUGROS &gt;&gt; 55585210 | TRW &gt;&gt; GDB499 | AKEBONO &gt;&gt; AN265WK | AKEBONO &gt;&gt; AN207K | ROULUNDS BRAKING &gt;&gt; 456381 | NIPPARTS &gt;&gt; J3614004 | MGA &gt;&gt; 305 | MGA &gt;&gt; 492 | RHIAG &gt;&gt; 13524 | APEC braking &gt;&gt; PAD811 | APEC braking &gt;&gt; PAD611 | COBREQ &gt;&gt; N1458 | HELLA PAGID &gt;&gt; 355005731 | HELLA PAGID &gt;&gt; 8DB355005731 | GIRLING &gt;&gt; 6104999 | BLUE PRINT &gt;&gt; ADH24254 | BLUE PRINT &gt;&gt; ADH24209 | COMLINE &gt;&gt; CBP3242 | COMLINE &gt;&gt; CBP0460 | COMLINE &gt;&gt; ADB3242 | COMLINE &gt;&gt; ADB0460 | STOP &gt;&gt; 571977S | WAGNER &gt;&gt; WBP21312A | NISSHINBO &gt;&gt; PF8266 | NISSHINBO &gt;&gt; PF8206 | BENDIX-AU &gt;&gt; DB1195 | BENDIX-AU &gt;&gt; DB1163 | EBC BRAKES &gt;&gt; DP6422 | EBC BRAKES &gt;&gt; DP642 | EBC BRAKES &gt;&gt; DP46422R | EBC BRAKES &gt;&gt; DP26422</t>
  </si>
  <si>
    <t>Fitting Position,  &gt;&gt; Rear Axle | Quality,  &gt;&gt; 162 | Thickness/Strength, mm &gt;&gt; 13 | Length, mm &gt;&gt; 88,8 | Height, mm &gt;&gt; 35,3 |  &gt;&gt; excl. wear warning contact |  &gt;&gt; with accessories | Brake System,  &gt;&gt; AKEBONO | WVA Number,  &gt;&gt; 21312</t>
  </si>
  <si>
    <t>HONDA &gt;&gt; 43022SD2930 | HONDA &gt;&gt; 43022SE0S00 | HONDA &gt;&gt; 43022SE7930 | HONDA &gt;&gt; 43022SH3932 | HONDA &gt;&gt; 43022SH3N30 | HONDA &gt;&gt; 43022SH3G01 | HONDA &gt;&gt; 43022SEON50 | HONDA &gt;&gt; 43022SH3931 | HONDA &gt;&gt; 43022SE0500 | HONDA &gt;&gt; 43022SE0930 | HONDA &gt;&gt; 43022SE0931 | HONDA &gt;&gt; 43022SE0N50 | SPIDAN &gt;&gt; 32131 | SPIDAN &gt;&gt; 32869 | ATE &gt;&gt; 13046059982 | PAGID &gt;&gt; T0034 | LUCAS ELECTRICAL &gt;&gt; GDB775 | VALEO &gt;&gt; 597056 | VALEO &gt;&gt; 598053 | BOSCH &gt;&gt; 0986AB2169 | BOSCH &gt;&gt; 986461131 | BOSCH &gt;&gt; 0986461131 | LEMFORDER &gt;&gt; 26178 | TEXTAR &gt;&gt; 2131213005 | TEXTAR &gt;&gt; 2131201 | JURID &gt;&gt; 572135J | BENDIX &gt;&gt; 572135B | FTE &gt;&gt; BL1288A2 | HERTH+BUSS JAKOPARTS &gt;&gt; J3614007 | HERTH+BUSS JAKOPARTS &gt;&gt; J3614004 | HERTH+BUSS JAKOPARTS &gt;&gt; J3614002 | QUINTON HAZELL &gt;&gt; 023300 | QUINTON HAZELL &gt;&gt; BP448 | QUINTON HAZELL &gt;&gt; BP601 | QUINTON HAZELL &gt;&gt; BP470 | FERODO &gt;&gt; FDB472 | FERODO &gt;&gt; FSL472 | BREMBO &gt;&gt; P28011 | BREMBO &gt;&gt; P28017 | MINTEX &gt;&gt; MDB1360 | MINTEX &gt;&gt; MDB1411 | PEX &gt;&gt; 7134 | ZIMMERMANN &gt;&gt; 213121302 | ZIMMERMANN &gt;&gt; 213121301 | DELPHI &gt;&gt; LP562 | DELPHI &gt;&gt; LP772 | METZGER &gt;&gt; 023302 | MAGNETI MARELLI &gt;&gt; 363702160913 | MAGNETI MARELLI &gt;&gt; 363700200034 | MAGNETI MARELLI &gt;&gt; 363702160861 | FEBI BILSTEIN &gt;&gt; 16309 | TRISCAN &gt;&gt; 811040925 | TRISCAN &gt;&gt; 811010014 | METELLI &gt;&gt; 2201700 | NK &gt;&gt; 222608 | OPTIMAL &gt;&gt; 12061 | OPTIMAL &gt;&gt; 9572 | OPTIMAL &gt;&gt; 9462 | MAPCO &gt;&gt; 6530 | MEYLE &gt;&gt; 0252131313W | ROADHOUSE &gt;&gt; 223300 | REMSA &gt;&gt; 23300 | REMSA &gt;&gt; 023300 | JAPANPARTS &gt;&gt; PP402AF | ICER &gt;&gt; 181045 | ICER &gt;&gt; 180751 | VAICO &gt;&gt; V260022 | RAMEDER &gt;&gt; T0610582 | KAMOKA &gt;&gt; JQ1011048 | LPR &gt;&gt; 05P928 | LPR &gt;&gt; 05P072 | TRUSTING &gt;&gt; 1730 | KAVO PARTS &gt;&gt; BP2029 | KAVO PARTS &gt;&gt; BP2031 | KAVO PARTS &gt;&gt; BP2028 | TRW &gt;&gt; GDB775 | SWAG &gt;&gt; 85916309 | HP (ZEBRA) &gt;&gt; HP2508 | HP (ZEBRA) &gt;&gt; 2508 | ACDelco &gt;&gt; AC422881D | ROULUNDS BRAKING &gt;&gt; 422881 | SCT Germany &gt;&gt; SP195 | ASHIKA &gt;&gt; 5104402 | NECTO &gt;&gt; FD6344N | NECTO &gt;&gt; FD6344A | NIPPARTS &gt;&gt; J3614007 | NIPPARTS &gt;&gt; J3614004 | NIPPARTS &gt;&gt; J3614002 | Brake ENGINEERING &gt;&gt; PA491 | FREMAX &gt;&gt; FBP0663 | GIRLING &gt;&gt; 6107759 | KAWE &gt;&gt; 023300 | fri.tech. &gt;&gt; 1730 | sbs &gt;&gt; 1501222608 | E.T.F. &gt;&gt; 120396 | E.T.F. &gt;&gt; 120351 | CIFAM &gt;&gt; 8221700 | WOKING &gt;&gt; P333300 | VILLAR &gt;&gt; 6260506 | VILLAR &gt;&gt; 6260072 | SIMER &gt;&gt; 477 | RAICAM &gt;&gt; 4530 | RAICAM &gt;&gt; 4511 | RAICAM &gt;&gt; 4510 | HERZOG GERMANY &gt;&gt; 886636 | ASHUKI &gt;&gt; 10837004 | ASHUKI &gt;&gt; 10834004 | ASHUKI &gt;&gt; 10832004 | IPS Parts &gt;&gt; IBR1402 | GALFER &gt;&gt; 2355200 | WAGNER &gt;&gt; WBP21312B | LUCAS &gt;&gt; GDB775 | A.B.S. &gt;&gt; 36636OE | A.B.S. &gt;&gt; 36636 | A.B.S. &gt;&gt; 36619</t>
  </si>
  <si>
    <t>Fitting Position,  &gt;&gt; Front Axle | Quality,  &gt;&gt; 162 | Thickness/Strength, mm &gt;&gt; 14 | Length, mm &gt;&gt; 127,8 | Height, mm &gt;&gt; 48,5 |  &gt;&gt; with acoustic wear warning |  &gt;&gt; with accessories | Brake System,  &gt;&gt; AKEBONO | WVA Number,  &gt;&gt; 20104</t>
  </si>
  <si>
    <t>HONDA &gt;&gt; 45022SD2A13 | HONDA &gt;&gt; 45022SD2505 | HONDA &gt;&gt; 45022SD2A02 | HONDA &gt;&gt; 45022SD2A11 | HONDA &gt;&gt; 45022SD2A12 | HONDA &gt;&gt; 45022SD2A10 | HONDA &gt;&gt; 45022SD2506 | HONDA &gt;&gt; 45022SD2A01 | HONDA &gt;&gt; 45022SE0315 | HONDA &gt;&gt; 45022SE0A01 | HONDA &gt;&gt; 45022SE0325 | HONDA &gt;&gt; 45022SE0912 | HONDA &gt;&gt; 45022SE0932 | HONDA &gt;&gt; 45022SE0A00 | HONDA &gt;&gt; 45022SE0931 | HONDA &gt;&gt; 45022SE0911 | SPIDAN &gt;&gt; 31277 | ATE &gt;&gt; 605918 | ATE &gt;&gt; 13046059182 | PAGID &gt;&gt; T0365 | VALEO &gt;&gt; 598190 | VALEO &gt;&gt; 168350 | BOSCH &gt;&gt; 986460936 | BOSCH &gt;&gt; 0986460936 | LEMFORDER &gt;&gt; 26256 | TEXTAR &gt;&gt; 2009915005 | TEXTAR &gt;&gt; 2009902 | TEXTAR &gt;&gt; 2009901 | JURID &gt;&gt; 572288J | BENDIX &gt;&gt; 572288B | FTE &gt;&gt; BL1021A2 | HERTH+BUSS JAKOPARTS &gt;&gt; J3604018 | QUINTON HAZELL &gt;&gt; BP425 | QUINTON HAZELL &gt;&gt; BLF425 | QUINTON HAZELL &gt;&gt; 022802 | FERODO &gt;&gt; FDB454 | BREMBO &gt;&gt; P28010 | MINTEX &gt;&gt; MDB1344 | PEX &gt;&gt; 7264 | PEX &gt;&gt; 7325 | DELPHI &gt;&gt; LP525 | METZGER &gt;&gt; 180750 | TRISCAN &gt;&gt; 811040853 | METELLI &gt;&gt; 2202371 | NK &gt;&gt; 222607 | OPTIMAL &gt;&gt; 9457 | ROADHOUSE &gt;&gt; 222802 | REMSA &gt;&gt; 22802 | REMSA &gt;&gt; 222802 | REMSA &gt;&gt; 022802 | JAPANPARTS &gt;&gt; PA424AF | ICER &gt;&gt; 180750 | RAMEDER &gt;&gt; T0610432 | LPR &gt;&gt; 05P073 | KAVO PARTS &gt;&gt; BP2008 | MOPROD &gt;&gt; MDP1034 | TRW &gt;&gt; GDB925 | HP (ZEBRA) &gt;&gt; HP2489 | HP (ZEBRA) &gt;&gt; 2489 | ACDelco &gt;&gt; AC496881D | ROULUNDS BRAKING &gt;&gt; 496881 | ASHIKA &gt;&gt; 5004424 | NECTO &gt;&gt; FD6290A | NIPPARTS &gt;&gt; J3604018 | Brake ENGINEERING &gt;&gt; PA463 | APEC braking &gt;&gt; PAD502 | GIRLING &gt;&gt; 6109259 | KAWE &gt;&gt; 022802 | sbs &gt;&gt; 1501222607 | E.T.F. &gt;&gt; 120349 | WOKING &gt;&gt; P328302 | VILLAR &gt;&gt; 6260073 | SIMER &gt;&gt; 6611 | ASHUKI &gt;&gt; 10808104 | IPS Parts &gt;&gt; IBD1418 | A.B.S. &gt;&gt; 36615</t>
  </si>
  <si>
    <t>for manufacturer,  &gt;&gt; AKEBONO | Brake System,  &gt;&gt; AKEBONO | WVA Number,  &gt;&gt; 21312 | Length, mm &gt;&gt; 88,8 | Thickness/Strength, mm &gt;&gt; 13 | Height, mm &gt;&gt; 35,3 | Quality,  &gt;&gt; 162 |  &gt;&gt; with accessories |  &gt;&gt; with acoustic wear warning | Version,  &gt;&gt; B</t>
  </si>
  <si>
    <t>Fitting Position &gt;&gt; Rear Axle | from construction year &gt;&gt; 10/1985 | to construction year &gt;&gt; 09/1990</t>
  </si>
  <si>
    <t>MG &gt;&gt; EJP1437 | MG &gt;&gt; GBP90347 | ROVER &gt;&gt; EJP1437 | ROVER &gt;&gt; GBP90316 | ROVER &gt;&gt; GBP90347 | ROVER &gt;&gt; GBP90347AF | ROVER &gt;&gt; GBP90316AF | LOTUS &gt;&gt; GBP90316 | SPIDAN &gt;&gt; 31105 | ATE &gt;&gt; 13046059982 | ATE &gt;&gt; 605998 | PAGID &gt;&gt; T0034 | VALEO &gt;&gt; 598286 | VALEO &gt;&gt; 598053 | VALEO &gt;&gt; 597056 | BOSCH &gt;&gt; 986461131 | BOSCH &gt;&gt; 0986461131 | LEMFORDER &gt;&gt; 26178 | TEXTAR &gt;&gt; 2131213005T4067 | TEXTAR &gt;&gt; 2131213005 | TEXTAR &gt;&gt; 2131201 | JURID &gt;&gt; 571977J | JURID &gt;&gt; 571977D | FTE &gt;&gt; BL1288A2 | QUINTON HAZELL &gt;&gt; BLF448 | QUINTON HAZELL &gt;&gt; 023302 | QUINTON HAZELL &gt;&gt; BP448 | FERODO &gt;&gt; FDB472 | FERODO &gt;&gt; FDB621 | BREMBO &gt;&gt; P28017 | MINTEX &gt;&gt; MDB1411 | PEX &gt;&gt; 7134 | ZIMMERMANN &gt;&gt; 217191501 | ZIMMERMANN &gt;&gt; 213121302 | DELPHI &gt;&gt; LP625 | METZGER &gt;&gt; 023302 | MAGNETI MARELLI &gt;&gt; 363702160861 | MAGNETI MARELLI &gt;&gt; 363700200034 | TRISCAN &gt;&gt; 811010014 | TRISCAN &gt;&gt; 811040059 | TRISCAN &gt;&gt; 811010864 | METELLI &gt;&gt; 2201701 | METELLI &gt;&gt; 2201730 | NK &gt;&gt; 229972 | OPTIMAL &gt;&gt; 9572 | MAPCO &gt;&gt; 6530 | MEYLE &gt;&gt; 0252131313W | ROADHOUSE &gt;&gt; 232532 | ROADHOUSE &gt;&gt; 223302 | REMSA &gt;&gt; 032532 | REMSA &gt;&gt; 23302 | REMSA &gt;&gt; 223302 | REMSA &gt;&gt; 023302 | ICER &gt;&gt; 180752701 | ICER &gt;&gt; 180752 | VAICO &gt;&gt; V260021 | KAMOKA &gt;&gt; JQ1011048 | A.B.S. &gt;&gt; 36636OE | A.B.S. &gt;&gt; 36636 | LPR &gt;&gt; 05P506 | TRUSTING &gt;&gt; 1760 | TRUSTING &gt;&gt; 1731 | KAVO PARTS &gt;&gt; BP2029 | TRW &gt;&gt; GDB3175 | TRW &gt;&gt; GDB499 | HP (ZEBRA) &gt;&gt; HP2638 | ACDelco &gt;&gt; AC456381D | ROULUNDS BRAKING &gt;&gt; 456381 | SCT Germany &gt;&gt; SP195 | NECTO &gt;&gt; FD6344A | MGA &gt;&gt; 305 | Brake ENGINEERING &gt;&gt; PA545 | APEC braking &gt;&gt; PAD611 | FREMAX &gt;&gt; FBP0663 | HELLA PAGID &gt;&gt; 8DB355005731 | GIRLING &gt;&gt; 6131759 | GIRLING &gt;&gt; 6104999 | KAWE &gt;&gt; 023302 | fri.tech. &gt;&gt; 1731 | fri.tech. &gt;&gt; 1760 | sbs &gt;&gt; 1501229972 | E.T.F. &gt;&gt; 120530 | CIFAM &gt;&gt; 8221730 | CIFAM &gt;&gt; 8221701 | WOKING &gt;&gt; P333302 | WOKING &gt;&gt; P225332 | VILLAR &gt;&gt; 6260506 | SIMER &gt;&gt; 442 | ST-TEMPLIN &gt;&gt; 011342120814 | HERZOG GERMANY &gt;&gt; 886636 | STOP &gt;&gt; 571977S</t>
  </si>
  <si>
    <t>for manufacturer,  &gt;&gt; AKEBONO | Brake System,  &gt;&gt; AKEBONO | WVA Number,  &gt;&gt; 21312 | Length, mm &gt;&gt; 88,8 | Thickness/Strength, mm &gt;&gt; 13 | Height, mm &gt;&gt; 35,3 | Quality,  &gt;&gt; 630 |  &gt;&gt; without accessories |  &gt;&gt; with acoustic wear warning | Version,  &gt;&gt; X</t>
  </si>
  <si>
    <t>for manufacturer,  &gt;&gt; AKEBONO | Brake System,  &gt;&gt; AKEBONO | WVA Number,  &gt;&gt; 21446 | Length, mm &gt;&gt; 129,1 | Thickness/Strength, mm &gt;&gt; 17,5 | Height, mm &gt;&gt; 53,1 | Quality,  &gt;&gt; 162 |  &gt;&gt; without accessories |  &gt;&gt; with acoustic wear warning | Version,  &gt;&gt; B</t>
  </si>
  <si>
    <t>HONDA &gt;&gt; 45022SD4020 | HONDA &gt;&gt; 45022SG0335 | HONDA &gt;&gt; 45022SG0G10 | HONDA &gt;&gt; 45022SG0G11 | HONDA &gt;&gt; 45022SH3N30 | HONDA &gt;&gt; 45022SD4A10 | HONDA &gt;&gt; 45022SD4A11 | HONDA &gt;&gt; 45022SE0G10 | HONDA &gt;&gt; 45022SG0010 | HONDA &gt;&gt; 45022SG0020 | HONDA &gt;&gt; 45022SD4A13 | HONDA &gt;&gt; 45022SD4E00 | ACURA &gt;&gt; 45022SD4E00 | SPIDAN &gt;&gt; 31446 | SPIDAN &gt;&gt; 31742 | ATE &gt;&gt; 605922 | ATE &gt;&gt; 13046059222 | PAGID &gt;&gt; T0370 | LUCAS ELECTRICAL &gt;&gt; GDB3034 | VALEO &gt;&gt; 551745 | BOSCH &gt;&gt; 0986424260 | BOSCH &gt;&gt; 986424260 | LEMFORDER &gt;&gt; 26254 | TEXTAR &gt;&gt; 2144617505T4047 | TEXTAR &gt;&gt; 2144601 | TEXTAR &gt;&gt; 2144617505 | JURID &gt;&gt; 572309J | FTE &gt;&gt; BL1321A2 | HERTH+BUSS JAKOPARTS &gt;&gt; J3604026 | QUINTON HAZELL &gt;&gt; 023702 | QUINTON HAZELL &gt;&gt; 032302 | QUINTON HAZELL &gt;&gt; BP548 | QUINTON HAZELL &gt;&gt; BLF548 | QUINTON HAZELL &gt;&gt; BLF636 | FERODO &gt;&gt; FDB748 | BREMBO &gt;&gt; P28013 | MINTEX &gt;&gt; MDB1635 | MINTEX &gt;&gt; MDB1589 | PEX &gt;&gt; 7196 | ZIMMERMANN &gt;&gt; 214461751 | DELPHI &gt;&gt; LP665 | METZGER &gt;&gt; 180962 | MAGNETI MARELLI &gt;&gt; 363702160888 | MAGNETI MARELLI &gt;&gt; 363702160738 | TRISCAN &gt;&gt; 811010510 | TRISCAN &gt;&gt; 811010974 | METELLI &gt;&gt; 2201710 | NK &gt;&gt; 222618 | NK &gt;&gt; 222612 | OPTIMAL &gt;&gt; 9652 | OPTIMAL &gt;&gt; 9470 | MAPCO &gt;&gt; 6328 | ROADHOUSE &gt;&gt; 232302 | ROADHOUSE &gt;&gt; 223702 | REMSA &gt;&gt; 232302 | REMSA &gt;&gt; 032302 | REMSA &gt;&gt; 023702 | REMSA &gt;&gt; 32302 | JAPANPARTS &gt;&gt; PA426AF | ICER &gt;&gt; 180704 | ICER &gt;&gt; 180962 | RAMEDER &gt;&gt; T0610568 | QH Benelux &gt;&gt; 2726 | A.B.S. &gt;&gt; 36639 | LPR &gt;&gt; 05P555 | KAVO PARTS &gt;&gt; BP2021 | MOPROD &gt;&gt; MDP1080 | TRW &gt;&gt; GDB733 | TRW &gt;&gt; GDB3034 | HP (ZEBRA) &gt;&gt; HP2517 | ACDelco &gt;&gt; AC472681D | ROULUNDS BRAKING &gt;&gt; 472681 | ASHIKA &gt;&gt; 5004426 | NECTO &gt;&gt; FD6535A | NIPPARTS &gt;&gt; J3604026 | MGA &gt;&gt; 413 | APEC braking &gt;&gt; PAD704 | GIRLING &gt;&gt; 6130349 | GIRLING &gt;&gt; 6107339 | KAWE &gt;&gt; 023702 | KAWE &gt;&gt; 032302 | sbs &gt;&gt; 1501222618 | sbs &gt;&gt; 1501222612 | E.T.F. &gt;&gt; 120480 | E.T.F. &gt;&gt; 120371 | WOKING &gt;&gt; P337302 | WOKING &gt;&gt; P223302 | VILLAR &gt;&gt; 6260080 | SIMER &gt;&gt; 4311 | SIMER &gt;&gt; 431 | STOP &gt;&gt; 572309S | ASHUKI &gt;&gt; 10806204 | IPS Parts &gt;&gt; IBD1440 | LUCAS &gt;&gt; GDB3034</t>
  </si>
  <si>
    <t>for manufacturer,  &gt;&gt; AKEBONO | Brake System,  &gt;&gt; AKEBONO | WVA Number,  &gt;&gt; 21323 | Length, mm &gt;&gt; 132,2 | Thickness/Strength, mm &gt;&gt; 15 | Height, mm &gt;&gt; 49,3 | Quality,  &gt;&gt; 162 |  &gt;&gt; without accessories |  &gt;&gt; with acoustic wear warning | Version,  &gt;&gt; B</t>
  </si>
  <si>
    <t>HONDA &gt;&gt; 45022SF1000 | HONDA &gt;&gt; 45022SF1010 | HONDA &gt;&gt; 45022SF1020 | HONDA &gt;&gt; 45022SH3G31 | HONDA &gt;&gt; 45022SH3G32 | HONDA &gt;&gt; 45022SH3G33 | HONDA &gt;&gt; 45022SH3930 | HONDA &gt;&gt; 45022SH3931 | HONDA &gt;&gt; 45022SH3932 | ACURA &gt;&gt; 45022SH3G31 | SPIDAN &gt;&gt; 31100 | ATE &gt;&gt; 13046059202 | ATE &gt;&gt; 605920 | PAGID &gt;&gt; T0012 | VALEO &gt;&gt; 597070 | VALEO &gt;&gt; 598248 | VALEO &gt;&gt; 168350 | BOSCH &gt;&gt; 0986AB2658 | BOSCH &gt;&gt; 0986460972 | BOSCH &gt;&gt; 986460972 | LEMFORDER &gt;&gt; 26179 | TEXTAR &gt;&gt; 2132215005 | TEXTAR &gt;&gt; 2132201 | JURID &gt;&gt; 572330J | FTE &gt;&gt; BL1291A2 | HERTH+BUSS JAKOPARTS &gt;&gt; J3604023 | QUINTON HAZELL &gt;&gt; 022902 | QUINTON HAZELL &gt;&gt; BP425 | QUINTON HAZELL &gt;&gt; BP550 | QUINTON HAZELL &gt;&gt; BLF550 | FERODO &gt;&gt; FSL598 | FERODO &gt;&gt; FDB598 | FERODO &gt;&gt; FDS598 | BREMBO &gt;&gt; P28010 | BREMBO &gt;&gt; P28016 | MINTEX &gt;&gt; MDB1374 | PEX &gt;&gt; 7096S | PEX &gt;&gt; 7096 | DELPHI &gt;&gt; LP605 | METZGER &gt;&gt; 022902 | METZGER &gt;&gt; 180755 | MAGNETI MARELLI &gt;&gt; 363702160903 | MAGNETI MARELLI &gt;&gt; 363700200012 | TRISCAN &gt;&gt; 811040853 | TRISCAN &gt;&gt; 811040977 | METELLI &gt;&gt; 2202361 | NK &gt;&gt; 222615 | NK &gt;&gt; 222607 | OPTIMAL &gt;&gt; 9571 | MAPCO &gt;&gt; 6434 | MEYLE &gt;&gt; 0252132215W | ROADHOUSE &gt;&gt; 222902 | ROADHOUSE &gt;&gt; 222802 | REMSA &gt;&gt; 22902 | REMSA &gt;&gt; 222902 | REMSA &gt;&gt; 022902 | REMSA &gt;&gt; 022802 | JAPANPARTS &gt;&gt; PA423AF | ICER &gt;&gt; 180755 | RAMEDER &gt;&gt; T0610494 | QH Benelux &gt;&gt; 2639 | A.B.S. &gt;&gt; 36616OE | A.B.S. &gt;&gt; 36616 | LPR &gt;&gt; 05P071 | LPR &gt;&gt; 05P073 | KAVO PARTS &gt;&gt; BP2011 | MOPROD &gt;&gt; MDP1019 | TRW &gt;&gt; GDB925 | TRW &gt;&gt; GDB763 | HP (ZEBRA) &gt;&gt; HP2639 | ACDelco &gt;&gt; AC496881D | ACDelco &gt;&gt; AC444781D | ROULUNDS BRAKING &gt;&gt; 496881 | ROULUNDS BRAKING &gt;&gt; 444781 | SCT Germany &gt;&gt; SP238 | ASHIKA &gt;&gt; 5004423 | NECTO &gt;&gt; FD6526N | NECTO &gt;&gt; FD6526A | NIPPARTS &gt;&gt; J3604023S | NIPPARTS &gt;&gt; J3604023 | MGA &gt;&gt; 253 | Brake ENGINEERING &gt;&gt; PA531 | Brake ENGINEERING &gt;&gt; PA463 | APEC braking &gt;&gt; PAD584 | FREMAX &gt;&gt; FBP071401 | HELLA PAGID &gt;&gt; 8DB355005661 | GIRLING &gt;&gt; 6109259 | GIRLING &gt;&gt; 6107639 | KAWE &gt;&gt; 022902 | sbs &gt;&gt; 1501222615 | sbs &gt;&gt; 1501222607 | E.T.F. &gt;&gt; 120479 | WOKING &gt;&gt; P329302 | WOKING &gt;&gt; P328302 | VILLAR &gt;&gt; 6260082 | SIMER &gt;&gt; 4761 | RAICAM &gt;&gt; 4520 | STOP &gt;&gt; 572330S | NPS &gt;&gt; H360A23 | ASHUKI &gt;&gt; 10803204 | IPS Parts &gt;&gt; IBD1423 | GALFER &gt;&gt; 2376400</t>
  </si>
  <si>
    <t>FTE</t>
  </si>
  <si>
    <t xml:space="preserve"> &gt;&gt; Disc Brake | Length, mm &gt;&gt; 127,7 | Height, mm &gt;&gt; 48,7 | Thickness/Strength, mm &gt;&gt; 14 | Quality,  &gt;&gt; 300 | Weight, kg &gt;&gt; 1.176 | Axle Vers.,  &gt;&gt; Front | Techn. Info. No.,  &gt;&gt; BL1021A2 | Brake System,  &gt;&gt; AKEBONO |  &gt;&gt; incl. wear warning contact</t>
  </si>
  <si>
    <t>Fitting Position &gt;&gt; Front Axle | to construction year &gt;&gt; 12/1989</t>
  </si>
  <si>
    <t>HONDA &gt;&gt; 45022SD231277 | HONDA &gt;&gt; 45022SD2A13 | HONDA &gt;&gt; 45022SE0910 | HONDA &gt;&gt; 45022SE0912 | HONDA &gt;&gt; 45022SE0931 | HONDA &gt;&gt; 45022SE0911 | HONDA &gt;&gt; 45022SE0315 | HONDA &gt;&gt; 45022SE0325 | HONDA &gt;&gt; 45022SE0505 | HONDA &gt;&gt; 45022SE0932 | HONDA &gt;&gt; 45022SD2A02 | HONDA &gt;&gt; 45022SD2A11 | HONDA &gt;&gt; 45022SD2A12 | HONDA &gt;&gt; 45022SD2A10 | HONDA &gt;&gt; 45022SE0A00 | HONDA &gt;&gt; 45022SD2506 | HONDA &gt;&gt; 45022SD2A01 | HONDA &gt;&gt; 45022SE0A10 | HONDA &gt;&gt; 45022SE0A11 | HONDA &gt;&gt; 45022SD2505 | HONDA &gt;&gt; 45022SE0A01 | HONDA &gt;&gt; 45022SE0A03 | ACURA &gt;&gt; 1L0121253A | SPIDAN &gt;&gt; 31277 | ATE &gt;&gt; 605918 | ATE &gt;&gt; 13046059182 | PAGID &gt;&gt; T0365 | VALEO &gt;&gt; 598190 | BOSCH &gt;&gt; 0986460936 | TEXTAR &gt;&gt; 2009902 | TEXTAR &gt;&gt; 2009915005T4047 | JURID &gt;&gt; 572288J | BENDIX &gt;&gt; 572288B | QUINTON HAZELL &gt;&gt; BP425 | FERODO &gt;&gt; FDB454 | BREMBO &gt;&gt; P28010 | MINTEX &gt;&gt; MDB1344 | DELPHI &gt;&gt; LP525 | MAGNETI MARELLI &gt;&gt; BP0984 | DOYEN &gt;&gt; GDB0925 | NK &gt;&gt; 222607 | OPTIMAL &gt;&gt; 9457 | ROADHOUSE &gt;&gt; 222802 | REMSA &gt;&gt; 22802 | REMSA &gt;&gt; 222802 | ICER &gt;&gt; 180750 | QH Benelux &gt;&gt; BP425 | A.B.S. &gt;&gt; 36615 | MOPROD &gt;&gt; MDP1034 | TRW &gt;&gt; GDB925 | AKEBONO &gt;&gt; A211WK | FMSI-VERBAND &gt;&gt; D3347229 | HP (ZEBRA) &gt;&gt; HP2489 | ROULUNDS BRAKING &gt;&gt; 496881 | MK Kashiyama &gt;&gt; D05022 | NECTO &gt;&gt; FD6290A | DON &gt;&gt; NDB155 | GIRLING &gt;&gt; 6109259 | sbs &gt;&gt; 1501222607 | WOKING &gt;&gt; 328302 | SIMER &gt;&gt; 6611 | FREN-J &gt;&gt; 496881 | FIRST LINE &gt;&gt; 1418 | MAFIX &gt;&gt; PL201</t>
  </si>
  <si>
    <t xml:space="preserve"> &gt;&gt; Disc Brake | Length, mm &gt;&gt; 129 | Height, mm &gt;&gt; 53 | Thickness/Strength, mm &gt;&gt; 17,5 | Quality,  &gt;&gt; 300 | Weight, kg &gt;&gt; 1.605 | Axle Vers.,  &gt;&gt; Front | Techn. Info. No.,  &gt;&gt; BL1321A2 | Brake System,  &gt;&gt; AKEBONO |  &gt;&gt; incl. wear warning contact</t>
  </si>
  <si>
    <t>Fitting Position &gt;&gt; Front Axle | from construction year &gt;&gt; 01/1990</t>
  </si>
  <si>
    <t>HONDA &gt;&gt; 45022S04A11 | HONDA &gt;&gt; 45022SG0020 | HONDA &gt;&gt; 45022SG0517 | HONDA &gt;&gt; 45022SG0G11 | HONDA &gt;&gt; 45022SG0G10 | HONDA &gt;&gt; 45022SG0315 | HONDA &gt;&gt; 45022SG0325 | HONDA &gt;&gt; 45022SG0335 | HONDA &gt;&gt; 45022SK7000 | HONDA &gt;&gt; 45022SE0G10 | HONDA &gt;&gt; 45022SG0010 | HONDA &gt;&gt; 45022SG0000 | HONDA &gt;&gt; 45022SK7010 | HONDA &gt;&gt; 45022SD4A11 | HONDA &gt;&gt; 45022SD4A13 | HONDA &gt;&gt; 45022SD4020 | HONDA &gt;&gt; 45022SR3N31 | ACURA &gt;&gt; 45022SG0G10 | ACURA &gt;&gt; 45022SG0010 | SPIDAN &gt;&gt; 31742 | ATE &gt;&gt; 605922 | ATE &gt;&gt; 13046059222 | PAGID &gt;&gt; T0370 | VALEO &gt;&gt; 551745 | BOSCH &gt;&gt; 0986424260 | TEXTAR &gt;&gt; 2144617505T4047 | TEXTAR &gt;&gt; 2144601 | JURID &gt;&gt; 572309J | BENDIX &gt;&gt; 572309B | QUINTON HAZELL &gt;&gt; BP548 | FERODO &gt;&gt; FDB748 | BREMBO &gt;&gt; P28013 | MINTEX &gt;&gt; MDB1589 | DELPHI &gt;&gt; LP665 | MAGNETI MARELLI &gt;&gt; BP0738 | DOYEN &gt;&gt; GDB3034 | NK &gt;&gt; 222612 | OPTIMAL &gt;&gt; 9652 | ROADHOUSE &gt;&gt; 232302 | REMSA &gt;&gt; 32302 | REMSA &gt;&gt; 232302 | ICER &gt;&gt; 180962 | QH Benelux &gt;&gt; BP548 | A.B.S. &gt;&gt; 36708 | MOPROD &gt;&gt; MDP1080 | TRW &gt;&gt; GDB3034 | AKEBONO &gt;&gt; A274WK | FMSI-VERBAND &gt;&gt; D4097445 | FMSI-VERBAND &gt;&gt; D4097235 | HP (ZEBRA) &gt;&gt; HP2726 | ROULUNDS BRAKING &gt;&gt; 472681 | MK Kashiyama &gt;&gt; D05050 | NECTO &gt;&gt; FD6535A | MGA &gt;&gt; MGA413 | GIRLING &gt;&gt; 6130349 | sbs &gt;&gt; 1501222612 | WOKING &gt;&gt; 223302 | SIMER &gt;&gt; 4311 | FREN-J &gt;&gt; 472681 | FIRST LINE &gt;&gt; 1366 | STOP &gt;&gt; 572309S | MAFIX &gt;&gt; PL205</t>
  </si>
  <si>
    <t xml:space="preserve"> &gt;&gt; Disc Brake | Length, mm &gt;&gt; 89 | Height, mm &gt;&gt; 35,2 | Thickness/Strength, mm &gt;&gt; 13 | Quality,  &gt;&gt; 944 | Weight, kg &gt;&gt; 0.570 | Axle Vers.,  &gt;&gt; Rear | Techn. Info. No.,  &gt;&gt; BL2349A1 | Brake System,  &gt;&gt; AKEBONO | Appr. stamp,  &gt;&gt; E9 90R-01110/308 |  &gt;&gt; incl. wear warning contact</t>
  </si>
  <si>
    <t>Fitting Position &gt;&gt; Rear Axle | to construction year &gt;&gt; 12/1989</t>
  </si>
  <si>
    <t>ACURA &gt;&gt; 06022SP8000 | SPIDAN &gt;&gt; 31812 | VALEO &gt;&gt; 598286 | JURID &gt;&gt; 572137J | BENDIX &gt;&gt; 572137B | BREMBO &gt;&gt; P28017 | BORG &amp; BECK &gt;&gt; BBP1453 | OPTIMAL &gt;&gt; 9672 | ROADHOUSE &gt;&gt; 223364 | REMSA &gt;&gt; 23364 | REMSA &gt;&gt; 223364 | ICER &gt;&gt; 180753 | FMSI-VERBAND &gt;&gt; D3647233 | HP (ZEBRA) &gt;&gt; HP2638 | WOKING &gt;&gt; 333312 | FIRST LINE &gt;&gt; 3070</t>
  </si>
  <si>
    <t xml:space="preserve"> &gt;&gt; Disc Brake | Length, mm &gt;&gt; 89 | Height, mm &gt;&gt; 35,2 | Thickness/Strength, mm &gt;&gt; 13 | Quality,  &gt;&gt; 944 | Weight, kg &gt;&gt; 0.605 | Axle Vers.,  &gt;&gt; Rear | Techn. Info. No.,  &gt;&gt; BL2349B1 | Brake System,  &gt;&gt; AKEBONO | Appr. stamp,  &gt;&gt; E9 90R-01110/308 |  &gt;&gt; incl. wear warning contact</t>
  </si>
  <si>
    <t>HONDA &gt;&gt; 06022SP8000 | ACURA &gt;&gt; 06022SP8000 | MAGNETI MARELLI &gt;&gt; BP0913 | ROADHOUSE &gt;&gt; 223387 | ROADHOUSE &gt;&gt; 223312 | REMSA &gt;&gt; 223312 | REMSA &gt;&gt; 23387 | REMSA &gt;&gt; 223387 | REMSA &gt;&gt; 23312 | ICER &gt;&gt; 180753701 | A.B.S. &gt;&gt; 36636 | TRW &gt;&gt; GDB7525 | SEBRO &gt;&gt; 2131213 | FMSI-VERBAND &gt;&gt; D3647233 | MK Kashiyama &gt;&gt; D05044 | WOKING &gt;&gt; 333387 | SIMER &gt;&gt; 443</t>
  </si>
  <si>
    <t>Fitting Position,  &gt;&gt; Front Axle | Thickness/Strength, mm &gt;&gt; 15 | Length, mm &gt;&gt; 130 | Height, mm &gt;&gt; 48 | Weight, kg &gt;&gt; 1,32 | Number of Wear Indicators, Per axle &gt;&gt; 2 |  &gt;&gt; incl. wear warning contact | Brake System,  &gt;&gt; Akebono | WVA Number,  &gt;&gt; 20099|20104|20108 | Number of pads,  &gt;&gt; 4</t>
  </si>
  <si>
    <t>HONDA &gt;&gt; 45022SD2A11 | HONDA &gt;&gt; 45022SD2506 | HONDA &gt;&gt; 45022SD2A02 | HONDA &gt;&gt; 45022SD2A10 | HONDA &gt;&gt; 45022SD2A01 | HONDA &gt;&gt; 45022SD2A12 | HONDA &gt;&gt; 45022SD2505 | HONDA &gt;&gt; 45022SD2A13 | HONDA &gt;&gt; 45022SE0912 | ATE &gt;&gt; 13046059182 | PAGID &gt;&gt; T0365 | VALEO &gt;&gt; 551610 | BOSCH &gt;&gt; 0986460936 | TEXTAR &gt;&gt; 2010414005 | TEXTAR &gt;&gt; 2009902 | JURID &gt;&gt; 572288J | BENDIX &gt;&gt; 572288B | BENDIX &gt;&gt; 572287B | QUINTON HAZELL &gt;&gt; BP425 | BREMBO &gt;&gt; P28010 | MINTEX &gt;&gt; MDB1344 | MINTEX &gt;&gt; MDB1586 | DELPHI &gt;&gt; LP525 | DELPHI &gt;&gt; LP721 | ROULUNDS RUBBER &gt;&gt; 496881 | ROADHOUSE &gt;&gt; 222802 | REMSA &gt;&gt; 022802 | ICER &gt;&gt; 180750 | UNIPART &gt;&gt; GBP708AF | UNIPART &gt;&gt; GBP708 | TRW &gt;&gt; GDB784 | TRW &gt;&gt; GDB925 | FMSI-VERBAND &gt;&gt; 7229D334 | NECTO &gt;&gt; FD6290A | NIPPARTS &gt;&gt; 3604024 | NIPPARTS &gt;&gt; 3604018 | Brake ENGINEERING &gt;&gt; PA463 | APEC braking &gt;&gt; PAD502 | BLUE PRINT &gt;&gt; ADH24221 | BLUE PRINT &gt;&gt; ADH24216 | A.B.S. &gt;&gt; 36615</t>
  </si>
  <si>
    <t>Fitting Position,  &gt;&gt; Rear Axle | Thickness/Strength, mm &gt;&gt; 12,8 | Appr. stamp,  &gt;&gt; R90 Homologated | Length, mm &gt;&gt; 89 | Height, mm &gt;&gt; 36 | Weight, kg &gt;&gt; 0,56 |  &gt;&gt; excl. wear warning contact | Brake System,  &gt;&gt; Akebono | WVA Number,  &gt;&gt; 21312 | Number of pads,  &gt;&gt; 4</t>
  </si>
  <si>
    <t>HONDA &gt;&gt; 43022S04E03 | HONDA &gt;&gt; 43022SH3932 | HONDA &gt;&gt; 43022S04E00 | HONDA &gt;&gt; 43022S04E02 | HONDA &gt;&gt; 43022SR3G00 | HONDA &gt;&gt; 43022SR3G01 | HONDA &gt;&gt; 43022SH3G01 | HONDA &gt;&gt; 43022SH3N30 | HONDA &gt;&gt; 43022SR2030 | HONDA &gt;&gt; 43022SE0500 | HONDA &gt;&gt; 43022SE0N50 | HONDA &gt;&gt; 43022SE7930 | HONDA &gt;&gt; 43022SH3931 | HONDA &gt;&gt; 43022SE0S00 | HONDA &gt;&gt; 43022SE0930 | HONDA &gt;&gt; 43022SE0931 | ATE &gt;&gt; 13046059982 | VALEO &gt;&gt; 551728 | VALEO &gt;&gt; 598437 | VALEO &gt;&gt; 598053 | VALEO &gt;&gt; 598286 | TEXTAR &gt;&gt; 2131201 | JURID &gt;&gt; 572135J | BENDIX &gt;&gt; 571977B | BENDIX &gt;&gt; 572135B | QUINTON HAZELL &gt;&gt; BP470 | FERODO &gt;&gt; FSL472 | BREMBO &gt;&gt; P28011 | MINTEX &gt;&gt; MDB1360 | MINTEX &gt;&gt; MDB2191 | DELPHI &gt;&gt; LP562 | DELPHI &gt;&gt; LP772 | ROULUNDS RUBBER &gt;&gt; 422881 | METELLI &gt;&gt; 2201700 | ROADHOUSE &gt;&gt; 22332 | ROADHOUSE &gt;&gt; 2233 | REMSA &gt;&gt; 023386 | ICER &gt;&gt; 180960 | ICER &gt;&gt; 180751 | TRUSTING &gt;&gt; 1730 | UNIPART &gt;&gt; GBP759 | UNIPART &gt;&gt; GBP759AF | TRW &gt;&gt; GDB775 | TRW &gt;&gt; GDB3113 | FMSI-VERBAND &gt;&gt; 7233D374 | NECTO &gt;&gt; FD6344N | NECTO &gt;&gt; FD6344A | NIPPARTS &gt;&gt; 3614004 | NIPPARTS &gt;&gt; 3614002 | Brake ENGINEERING &gt;&gt; PA491 | APEC braking &gt;&gt; PAD587 | BLUE PRINT &gt;&gt; ADH24219 | BLUE PRINT &gt;&gt; ADH24209 | WAGNER &gt;&gt; WBP21312B | A.B.S. &gt;&gt; 36619</t>
  </si>
  <si>
    <t>Fitting Position,  &gt;&gt; Rear Axle | Thickness/Strength, mm &gt;&gt; 12,8 | Length, mm &gt;&gt; 89 | Height, mm &gt;&gt; 36 | Weight, kg &gt;&gt; 0,56 | Brake System,  &gt;&gt; Akebono</t>
  </si>
  <si>
    <t>HONDA &gt;&gt; 43022S04E03 | HONDA &gt;&gt; 43022SH3932 | HONDA &gt;&gt; 43022S04E00 | HONDA &gt;&gt; 43022S04E02 | HONDA &gt;&gt; 43022SR3G00 | HONDA &gt;&gt; 43022SR3G01 | HONDA &gt;&gt; 43022SH3G01 | HONDA &gt;&gt; 43022SH3N30 | HONDA &gt;&gt; 43022SR2030 | HONDA &gt;&gt; 43022SE0500 | HONDA &gt;&gt; 43022SE0N50 | HONDA &gt;&gt; 43022SE7930 | HONDA &gt;&gt; 43022SH3931 | HONDA &gt;&gt; 43022SE0S00 | HONDA &gt;&gt; 43022SE0930 | HONDA &gt;&gt; 43022SE0931 | ATE &gt;&gt; 13046059982 | VALEO &gt;&gt; 551728 | VALEO &gt;&gt; 598286 | VALEO &gt;&gt; 598437 | VALEO &gt;&gt; 598053 | TEXTAR &gt;&gt; 2131201 | JURID &gt;&gt; 572135J | BENDIX &gt;&gt; 572135B | QUINTON HAZELL &gt;&gt; BP470 | FERODO &gt;&gt; FSL472 | BREMBO &gt;&gt; P28011 | MINTEX &gt;&gt; MDB2191 | MINTEX &gt;&gt; MDB1360 | DELPHI &gt;&gt; LP772 | DELPHI &gt;&gt; LP562 | ROULUNDS RUBBER &gt;&gt; 422881 | METELLI &gt;&gt; 2201700 | ROADHOUSE &gt;&gt; 22332 | ROADHOUSE &gt;&gt; 2233 | REMSA &gt;&gt; 023386 | ICER &gt;&gt; 180960 | ICER &gt;&gt; 180751 | TRUSTING &gt;&gt; 1730 | UNIPART &gt;&gt; GBP759AF | UNIPART &gt;&gt; GBP759 | TRW &gt;&gt; GDB775 | TRW &gt;&gt; GDB3113 | FMSI-VERBAND &gt;&gt; 7233D374 | NECTO &gt;&gt; FD6344A | NECTO &gt;&gt; FD6344N | NIPPARTS &gt;&gt; 3614004 | NIPPARTS &gt;&gt; 3614002 | Brake ENGINEERING &gt;&gt; PA491 | APEC braking &gt;&gt; PAD587 | APEC braking &gt;&gt; PAD1009 | BLUE PRINT &gt;&gt; ADH24219 | BLUE PRINT &gt;&gt; ADH24209 | WAGNER &gt;&gt; WBP21312B | A.B.S. &gt;&gt; 36619</t>
  </si>
  <si>
    <t>for Art.No.,  &gt;&gt; P 28 010 | Thickness/Strength, mm &gt;&gt; 15 | WVA Number,  &gt;&gt; 20099-20104-20108 | Width, mm &gt;&gt; 127,5 | Height, mm &gt;&gt; 48,4 |  &gt;&gt; with acoustic wear warning | Brake System,  &gt;&gt; Akebono</t>
  </si>
  <si>
    <t>HONDA &gt;&gt; 45022SD2A10 | HONDA &gt;&gt; 45022SD2A11 | HONDA &gt;&gt; 45022SD2A02 | HONDA &gt;&gt; 45022SD2A03 | HONDA &gt;&gt; 45022SD2A00 | HONDA &gt;&gt; 45022SD2A01 | HONDA &gt;&gt; 45022SEOA01 | HONDA &gt;&gt; 45022SD2528 | HONDA &gt;&gt; 45022SD2529 | HONDA &gt;&gt; 45022SE1911 | HONDA &gt;&gt; 45022SE1910 | HONDA &gt;&gt; 45022SE0A01 | HONDA &gt;&gt; 45022SE1505 | HONDA &gt;&gt; 45022SD2518 | HONDA &gt;&gt; 45022SD2519 | HONDA &gt;&gt; 45022SE0A00 | HONDA &gt;&gt; 45022SE0932 | HONDA &gt;&gt; 45022SE0930 | HONDA &gt;&gt; 45022SE0931 | HONDA &gt;&gt; 45022SD2508 | HONDA &gt;&gt; 45022SD2509 | HONDA &gt;&gt; 45022SE0912 | HONDA &gt;&gt; 45022SE0911 | HONDA &gt;&gt; 45022SE0517 | HONDA &gt;&gt; 45022SE0527 | HONDA &gt;&gt; 45022SD2505 | HONDA &gt;&gt; 45022SD2506 | HONDA &gt;&gt; 45022SE0507 | HONDA &gt;&gt; 45022SE0505 | HONDA &gt;&gt; 45022SE0316 | HONDA &gt;&gt; 45022SE0325 | HONDA &gt;&gt; 45022SD2A12 | HONDA &gt;&gt; 45022SB2780 | HONDA &gt;&gt; 45022SE0315 | HONDA &gt;&gt; 45022SE0306 | HONDA &gt;&gt; 45022SD2A13 | ATE &gt;&gt; 605918 | ATE &gt;&gt; 13046059182 | PAGID &gt;&gt; T0365 | VALEO &gt;&gt; 551610 | VALEO &gt;&gt; 540438 | VALEO &gt;&gt; 168420 | BOSCH &gt;&gt; 0986460936 | BOSCH &gt;&gt; BP506 | TEXTAR &gt;&gt; 2009902 | TEXTAR &gt;&gt; TX0223 | JURID &gt;&gt; 572288J | JURID &gt;&gt; 572287J | BENDIX &gt;&gt; 572288B | BENDIX &gt;&gt; 572287B | BENDIX &gt;&gt; DB429 | FTE &gt;&gt; BL1021A2 | HERTH+BUSS JAKOPARTS &gt;&gt; J3604018 | HERTH+BUSS JAKOPARTS &gt;&gt; J3604024 | QUINTON HAZELL &gt;&gt; BP425 | FERODO &gt;&gt; FDB454 | MINTEX &gt;&gt; MDB1586 | MINTEX &gt;&gt; MDB1344 | DELPHI &gt;&gt; LP721 | DELPHI &gt;&gt; LP525 | MAGNETI MARELLI &gt;&gt; T0365MM | OPTIMAL &gt;&gt; 9515 | QH Benelux &gt;&gt; 2525 | QH Benelux &gt;&gt; 2489 | A.B.S. &gt;&gt; 36615 | AUGROS &gt;&gt; 55585145 | TRW &gt;&gt; GDB925 | TRW &gt;&gt; GDB784 | AKEBONO &gt;&gt; AN211WK | RHIAG &gt;&gt; 09976 | APEC braking &gt;&gt; PAD450 | HELLA PAGID &gt;&gt; 8DB355006261 | HELLA PAGID &gt;&gt; 355006261 | BLUE PRINT &gt;&gt; ADH24216 | NISSHINBO &gt;&gt; PF8127</t>
  </si>
  <si>
    <t>for Art.No.,  &gt;&gt; P 28 017 | Thickness/Strength, mm &gt;&gt; 13 | WVA Number,  &gt;&gt; 21312-21313-21314 | Width, mm &gt;&gt; 88,8 | Height, mm &gt;&gt; 35,1 |  &gt;&gt; with acoustic wear warning | Brake System,  &gt;&gt; Akebono</t>
  </si>
  <si>
    <t>HONDA &gt;&gt; 06022SP8000 | HONDA &gt;&gt; 43022SE0506 | HONDA &gt;&gt; 43022SE0931 | HONDA &gt;&gt; 43022SE0S00 | HONDA &gt;&gt; 43022SF1000 | HONDA &gt;&gt; 43022SE0N50 | HONDA &gt;&gt; 43022SR3030 | HONDA &gt;&gt; 43022SE0526 | HONDA &gt;&gt; 43022SE0930 | HONDA &gt;&gt; 43022ST3E50HE | HONDA &gt;&gt; 43022SR3506 | HONDA &gt;&gt; 43022SE0525 | HONDA &gt;&gt; 43022ST3E50 | HONDA &gt;&gt; 43022ST3E00 | HONDA &gt;&gt; 43022SF1010 | HONDA &gt;&gt; 43022SAAE50 | HONDA &gt;&gt; 43022SD2505 | HONDA &gt;&gt; 43022SD2930 | HONDA &gt;&gt; 43022SR3010 | HONDA &gt;&gt; 43022SR3000 | HONDA &gt;&gt; 43022SK3E00 | HONDA &gt;&gt; 43022SK7000 | HONDA &gt;&gt; 43022SH3932 | HONDA &gt;&gt; 43022SD2307 | HONDA &gt;&gt; 43022SH3J00 | HONDA &gt;&gt; 43022SH3G01 | HONDA &gt;&gt; 43022SH3G00 | HONDA &gt;&gt; 43022SF1505 | HONDA &gt;&gt; 43022SF1S00 | HONDA &gt;&gt; 43022S04010 | HONDA &gt;&gt; 43022SH3931 | HONDA &gt;&gt; 43022SH3305 | HONDA &gt;&gt; 43022SF1S01 | HONDA &gt;&gt; 43022SF1515 | HONDA &gt;&gt; 43022SF1525 | MG &gt;&gt; GBP90347AF | OPEL &gt;&gt; 1605731 | ROVER &gt;&gt; GBP90316AF | ROVER &gt;&gt; GBP90316 | ROVER &gt;&gt; EJP1437 | VAUXHALL &gt;&gt; 90297552 | ATE &gt;&gt; 13046059982 | ATE &gt;&gt; 605998 | PAGID &gt;&gt; T0034 | VALEO &gt;&gt; 551728 | VALEO &gt;&gt; 598053 | BOSCH &gt;&gt; 0986461131 | BOSCH &gt;&gt; BP582 | BOSCH &gt;&gt; 986461131 | BOSCH &gt;&gt; 0986494128 | TEXTAR &gt;&gt; TX0175 | TEXTAR &gt;&gt; 2131201 | JURID &gt;&gt; 572136J | JURID &gt;&gt; 572135J | JURID &gt;&gt; 571977J | JURID &gt;&gt; 572137J | BENDIX &gt;&gt; 572136B | BENDIX &gt;&gt; 572135B | BENDIX &gt;&gt; 571977B | BENDIX &gt;&gt; DB1195 | BENDIX &gt;&gt; DB1163 | FTE &gt;&gt; BL1288A2 | HERTH+BUSS JAKOPARTS &gt;&gt; J3614004 | HERTH+BUSS JAKOPARTS &gt;&gt; J3614003 | HERTH+BUSS JAKOPARTS &gt;&gt; J3614002 | QUINTON HAZELL &gt;&gt; BP470 | QUINTON HAZELL &gt;&gt; BP448 | FERODO &gt;&gt; FDB621 | FERODO &gt;&gt; FDB472 | MINTEX &gt;&gt; MDB1411 | DELPHI &gt;&gt; LP772 | DELPHI &gt;&gt; LP625 | DELPHI &gt;&gt; LP562 | MAGNETI MARELLI &gt;&gt; T0034MM | MAGNETI MARELLI &gt;&gt; 363700200034 | ROULUNDS RUBBER &gt;&gt; 456381 | NK &gt;&gt; 229972 | NK &gt;&gt; 222608 | OPTIMAL &gt;&gt; 9572 | OPTIMAL &gt;&gt; 9672 | ROADHOUSE &gt;&gt; 223312 | ROADHOUSE &gt;&gt; 223302 | REMSA &gt;&gt; 23302 | REMSA &gt;&gt; 023302 | JAPANPARTS &gt;&gt; PP425AF | JAPANPARTS &gt;&gt; PP404AF | QH Benelux &gt;&gt; 2638 | A.B.S. &gt;&gt; 36636 | AUGROS &gt;&gt; 55585210 | TRW &gt;&gt; GDB499 | AKEBONO &gt;&gt; AN265WK | AKEBONO &gt;&gt; AN207K | MGA &gt;&gt; 305 | MGA &gt;&gt; 492 | RHIAG &gt;&gt; 13524 | APEC braking &gt;&gt; PAD811 | APEC braking &gt;&gt; PAD611 | COBREQ &gt;&gt; N1458 | HELLA PAGID &gt;&gt; 8DB355005731 | HELLA PAGID &gt;&gt; 355005731 | GIRLING &gt;&gt; 6104999 | BLUE PRINT &gt;&gt; ADH24254 | BLUE PRINT &gt;&gt; ADH24209 | STOP &gt;&gt; 571977S | WAGNER &gt;&gt; WBP21312A | NISSHINBO &gt;&gt; PF8266 | NISSHINBO &gt;&gt; PF8206</t>
  </si>
  <si>
    <t>MINTEX</t>
  </si>
  <si>
    <t>Width, mm &gt;&gt; 127,3 | Height, mm &gt;&gt; 48,5 | Thickness/Strength, mm &gt;&gt; 15 |  &gt;&gt; with acoustic wear warning | WVA Number,  &gt;&gt; 20099 | Brake System,  &gt;&gt; Akebono</t>
  </si>
  <si>
    <t>HONDA &gt;&gt; 45022SD2A03 | HONDA &gt;&gt; 45022SD2A11 | HONDA &gt;&gt; 45022SD2A12 | HONDA &gt;&gt; 45022SD2A10 | HONDA &gt;&gt; 45022SD2A01 | HONDA &gt;&gt; 45022SD2A02 | HONDA &gt;&gt; 45022SEOA01 | HONDA &gt;&gt; 45022SD2529 | HONDA &gt;&gt; 45022SD2A00 | HONDA &gt;&gt; 45022SE1911 | HONDA &gt;&gt; 45022SE1910 | HONDA &gt;&gt; 45022SE0A01 | HONDA &gt;&gt; 45022SE1505 | HONDA &gt;&gt; 45022SD2519 | HONDA &gt;&gt; 45022SD2528 | HONDA &gt;&gt; 45022SE0A00 | HONDA &gt;&gt; 45022SE0932 | HONDA &gt;&gt; 45022SE0930 | HONDA &gt;&gt; 45022SE0931 | HONDA &gt;&gt; 45022SD2509 | HONDA &gt;&gt; 45022SD2518 | HONDA &gt;&gt; 45022SE0912 | HONDA &gt;&gt; 45022SE0911 | HONDA &gt;&gt; 45022SE0517 | HONDA &gt;&gt; 45022SE0527 | HONDA &gt;&gt; 45022SD2506 | HONDA &gt;&gt; 45022SD2508 | HONDA &gt;&gt; 45022SE0515 | HONDA &gt;&gt; 45022SE0507 | HONDA &gt;&gt; 45022SE0325 | HONDA &gt;&gt; 45022SE0505 | HONDA &gt;&gt; 45022SB2780 | HONDA &gt;&gt; 45022SD2505 | HONDA &gt;&gt; 45022SE0316 | HONDA &gt;&gt; 45022SE0315 | HONDA &gt;&gt; 45022SD2A13 | HONDA &gt;&gt; 45022SE0306 | ATE &gt;&gt; 605918 | ATE &gt;&gt; 13046059182 | PAGID &gt;&gt; T0365 | VALEO &gt;&gt; 551610 | VALEO &gt;&gt; 540438 | VALEO &gt;&gt; 168420 | BOSCH &gt;&gt; 0986460936 | BOSCH &gt;&gt; BP506 | TEXTAR &gt;&gt; 2009902 | TEXTAR &gt;&gt; TX0223 | JURID &gt;&gt; 572288J | JURID &gt;&gt; 572287J | BENDIX &gt;&gt; 572288B | BENDIX &gt;&gt; 572287B | FTE &gt;&gt; BL1021A2 | HERTH+BUSS JAKOPARTS &gt;&gt; J3604024 | HERTH+BUSS JAKOPARTS &gt;&gt; J3604018 | QUINTON HAZELL &gt;&gt; 2525 | QUINTON HAZELL &gt;&gt; 2489 | QUINTON HAZELL &gt;&gt; BP425 | FERODO &gt;&gt; FDB454 | BREMBO &gt;&gt; P28010 | MINTEX &gt;&gt; MDB1586 | DELPHI &gt;&gt; LP721 | DELPHI &gt;&gt; LP525 | MAGNETI MARELLI &gt;&gt; T0365MM | OPTIMAL &gt;&gt; 9515 | A.B.S. &gt;&gt; 36615 | AUGROS &gt;&gt; 55585145 | TRW &gt;&gt; GDB925 | TRW &gt;&gt; GDB784 | AKEBONO &gt;&gt; AN211WK | RHIAG &gt;&gt; 09976 | APEC braking &gt;&gt; PAD450 | HELLA PAGID &gt;&gt; 8DB355006261 | HELLA PAGID &gt;&gt; 355006261 | BLUE PRINT &gt;&gt; ADH24216 | NISSHINBO &gt;&gt; PF8127 | BENDIX-AU &gt;&gt; DB429 | EBC BRAKES &gt;&gt; DP623 | EBC BRAKES &gt;&gt; DP2623</t>
  </si>
  <si>
    <t>Width, mm &gt;&gt; 88,8 | Height, mm &gt;&gt; 35,1 | Thickness/Strength, mm &gt;&gt; 13 |  &gt;&gt; not prepared for wear indicator | WVA Number,  &gt;&gt; 21312 | Brake System,  &gt;&gt; Akebono</t>
  </si>
  <si>
    <t>HONDA &gt;&gt; 43022SD2930 | HONDA &gt;&gt; 43022SD2505 | HONDA &gt;&gt; 43022SE0526 | HONDA &gt;&gt; 43022SH3507 | HONDA &gt;&gt; 43022SF1800 | HONDA &gt;&gt; 43022SE0525 | HONDA &gt;&gt; 43022SF1525 | HONDA &gt;&gt; 43022SEON50 | HONDA &gt;&gt; 43022SE0930 | HONDA &gt;&gt; 43022SE0500 | HONDA &gt;&gt; 43022SE7930 | HONDA &gt;&gt; 43022SE0S00 | HONDA &gt;&gt; 43022SR3030 | HONDA &gt;&gt; 43022SH3N30 | HONDA &gt;&gt; 43022SH3527 | HONDA &gt;&gt; 43022SE0931 | HONDA &gt;&gt; 43022SH3G01 | HONDA &gt;&gt; 43022SH3932 | HONDA &gt;&gt; 43022SH3931 | BOSCH &gt;&gt; 0986461131 | JURID &gt;&gt; 571977J | QUINTON HAZELL &gt;&gt; 2508 | DELPHI &gt;&gt; LP562 | APEC braking &gt;&gt; PAD451 | BENDIX-AU &gt;&gt; DB430</t>
  </si>
  <si>
    <t>Width, mm &gt;&gt; 88,8 | Height, mm &gt;&gt; 35,1 | Thickness/Strength, mm &gt;&gt; 13 |  &gt;&gt; with acoustic wear warning | WVA Number,  &gt;&gt; 21312 | Brake System,  &gt;&gt; Akebono</t>
  </si>
  <si>
    <t>HONDA &gt;&gt; 06022SP8000 | HONDA &gt;&gt; 43022SE0506 | HONDA &gt;&gt; 43022SE0931 | HONDA &gt;&gt; 43022SE0S00 | HONDA &gt;&gt; 43022SF1000 | HONDA &gt;&gt; 43022SE0N50 | HONDA &gt;&gt; 43022SR3030 | HONDA &gt;&gt; 43022SE0526 | HONDA &gt;&gt; 43022SE0930 | HONDA &gt;&gt; 43022ST3E50HE | HONDA &gt;&gt; 43022SR3506 | HONDA &gt;&gt; 43022SE0525 | HONDA &gt;&gt; 43022ST3E50 | HONDA &gt;&gt; 43022ST3E00 | HONDA &gt;&gt; 43022SF1010 | HONDA &gt;&gt; 43022SAAE50 | HONDA &gt;&gt; 43022SD2505 | HONDA &gt;&gt; 43022SD2930 | HONDA &gt;&gt; 43022SR3010 | HONDA &gt;&gt; 43022SR3000 | HONDA &gt;&gt; 43022SK3E00 | HONDA &gt;&gt; 43022SK7000 | HONDA &gt;&gt; 43022SH3932 | HONDA &gt;&gt; 43022SD2307 | HONDA &gt;&gt; 43022SH3J00 | HONDA &gt;&gt; 43022SH3G01 | HONDA &gt;&gt; 43022SH3G00 | HONDA &gt;&gt; 43022SF1505 | HONDA &gt;&gt; 43022SF1S00 | HONDA &gt;&gt; 43022S04010 | HONDA &gt;&gt; 43022SH3931 | HONDA &gt;&gt; 43022SH3305 | HONDA &gt;&gt; 43022SF1S01 | HONDA &gt;&gt; 43022SF1515 | HONDA &gt;&gt; 43022SF1525 | MG &gt;&gt; GBP90347AF | OPEL &gt;&gt; 1605731 | ROVER &gt;&gt; GBP90316AF | ROVER &gt;&gt; GBP90316 | ROVER &gt;&gt; EJP1437 | VAUXHALL &gt;&gt; 90297552 | ATE &gt;&gt; 13046059982 | ATE &gt;&gt; 605998 | PAGID &gt;&gt; T0034 | VALEO &gt;&gt; 551728 | VALEO &gt;&gt; 598053 | BOSCH &gt;&gt; 0986461131 | BOSCH &gt;&gt; BP582 | BOSCH &gt;&gt; 0986494128 | TEXTAR &gt;&gt; TX0175 | TEXTAR &gt;&gt; 2131201 | JURID &gt;&gt; 572135J | JURID &gt;&gt; 571977J | JURID &gt;&gt; 572136J | JURID &gt;&gt; 572137J | BENDIX &gt;&gt; 572136B | BENDIX &gt;&gt; 572135B | BENDIX &gt;&gt; 571977B | FTE &gt;&gt; BL1288A2 | HERTH+BUSS JAKOPARTS &gt;&gt; J3614004 | HERTH+BUSS JAKOPARTS &gt;&gt; J3614002 | HERTH+BUSS JAKOPARTS &gt;&gt; J3614003 | QUINTON HAZELL &gt;&gt; 2638 | QUINTON HAZELL &gt;&gt; BP448 | QUINTON HAZELL &gt;&gt; BP470 | FERODO &gt;&gt; FDB621 | FERODO &gt;&gt; FDB472 | BREMBO &gt;&gt; P28011 | BREMBO &gt;&gt; P28017 | DELPHI &gt;&gt; LP772 | DELPHI &gt;&gt; LP625 | DELPHI &gt;&gt; LP562 | MAGNETI MARELLI &gt;&gt; T0034MM | MAGNETI MARELLI &gt;&gt; 363700200034 | ROULUNDS RUBBER &gt;&gt; 456381 | NK &gt;&gt; 229972 | NK &gt;&gt; 222608 | OPTIMAL &gt;&gt; 9672 | OPTIMAL &gt;&gt; 9572 | ROADHOUSE &gt;&gt; 223312 | ROADHOUSE &gt;&gt; 223302 | REMSA &gt;&gt; 23302 | REMSA &gt;&gt; 023302 | JAPANPARTS &gt;&gt; PP425AF | JAPANPARTS &gt;&gt; PP404AF | A.B.S. &gt;&gt; 36636 | AUGROS &gt;&gt; 55585210 | TRW &gt;&gt; GDB499 | AKEBONO &gt;&gt; AN265WK | AKEBONO &gt;&gt; AN207K | ROULUNDS BRAKING &gt;&gt; 456381 | NIPPARTS &gt;&gt; J3614004 | MGA &gt;&gt; 305 | MGA &gt;&gt; 492 | RHIAG &gt;&gt; 13524 | APEC braking &gt;&gt; PAD811 | APEC braking &gt;&gt; PAD611 | COBREQ &gt;&gt; N1458 | HELLA PAGID &gt;&gt; 8DB355005731 | HELLA PAGID &gt;&gt; 355005731 | GIRLING &gt;&gt; 6104999 | BLUE PRINT &gt;&gt; ADH24254 | BLUE PRINT &gt;&gt; ADH24209 | COMLINE &gt;&gt; CBP3242 | COMLINE &gt;&gt; CBP0460 | COMLINE &gt;&gt; ADB3242 | COMLINE &gt;&gt; ADB0460 | STOP &gt;&gt; 571977S | WAGNER &gt;&gt; WBP21312A | NISSHINBO &gt;&gt; PF8266 | NISSHINBO &gt;&gt; PF8206 | BENDIX-AU &gt;&gt; DB1195 | BENDIX-AU &gt;&gt; DB1163 | EBC BRAKES &gt;&gt; DP6422 | EBC BRAKES &gt;&gt; DP642 | EBC BRAKES &gt;&gt; DP46422R | EBC BRAKES &gt;&gt; DP26422</t>
  </si>
  <si>
    <t>METZGER</t>
  </si>
  <si>
    <t>Fitting Position,  &gt;&gt; Rear Axle | Width, mm &gt;&gt; 88,8 | Height, mm &gt;&gt; 35,3 | Thickness/Strength, mm &gt;&gt; 13 | Brake System,  &gt;&gt; Akebono |  &gt;&gt; incl. wear warning contact | Number of Wear Indicators, Per axle &gt;&gt; 2 |  &gt;&gt; Mechanical |  &gt;&gt; with add-on material | Appr. stamp,  &gt;&gt; E1 90R - 01023/399</t>
  </si>
  <si>
    <t>HONDA &gt;&gt; 43022SR3000 | HONDA &gt;&gt; 43022SE0N50 | HONDA &gt;&gt; 43022SH3305 | HONDA &gt;&gt; 43022SH3G01 | HONDA &gt;&gt; 43022SK3E00 | HONDA &gt;&gt; 43022SK7000 | HONDA &gt;&gt; 43022SH3J00 | HONDA &gt;&gt; 43022SH3931 | HONDA &gt;&gt; 43022SH3932 | HONDA &gt;&gt; 43022SH3G00 | HONDA &gt;&gt; 43022SE0S00 | HONDA &gt;&gt; 43022SF1505 | HONDA &gt;&gt; 43022SF1S00 | HONDA &gt;&gt; 43022SF1S01 | HONDA &gt;&gt; 43022SF1515 | HONDA &gt;&gt; 43022SF1000 | HONDA &gt;&gt; 43022SF1010 | HONDA &gt;&gt; 43022SR3010 | HONDA &gt;&gt; 43022SD2307 | HONDA &gt;&gt; 06022SP8000 | HONDA &gt;&gt; 43022SE0930 | HONDA &gt;&gt; 43022SE0931 | HONDA &gt;&gt; 43022SD2930 | HONDA &gt;&gt; 43022SE0506 | HONDA &gt;&gt; 43022ST3E00 | ROVER &gt;&gt; GBP90316AF | ROVER &gt;&gt; GBP90347AF | ROVER &gt;&gt; GBP90316 | ROVER &gt;&gt; EJP1437 | SPIDAN &gt;&gt; 30195 | SPIDAN &gt;&gt; 31105 | SPIDAN &gt;&gt; 32131 | HELLA &gt;&gt; 8DB355017151 | ATE &gt;&gt; 13046059982 | PAGID &gt;&gt; T0034 | VALEO &gt;&gt; 597056 | VALEO &gt;&gt; 598053 | VALEO &gt;&gt; 551695 | BOSCH &gt;&gt; 0986AB2169 | BOSCH &gt;&gt; 0986461131 | LEMFORDER &gt;&gt; 26178 | TEXTAR &gt;&gt; 2131201 | JURID &gt;&gt; 572137J | JURID &gt;&gt; 572136J | JURID &gt;&gt; 571977J | JURID &gt;&gt; 571977D | BENDIX &gt;&gt; 572137B | BENDIX &gt;&gt; 572136B | BENDIX &gt;&gt; 571977X | BENDIX &gt;&gt; 571977B | FTE &gt;&gt; BL1288A2 | HERTH+BUSS JAKOPARTS &gt;&gt; J3614004 | QUINTON HAZELL &gt;&gt; BP470 | QUINTON HAZELL &gt;&gt; BP448 | QUINTON HAZELL &gt;&gt; BP330 | QUINTON HAZELL &gt;&gt; BLF448 | QUINTON HAZELL &gt;&gt; 023300 | QUINTON HAZELL &gt;&gt; 023302 | FERODO &gt;&gt; FSL621 | FERODO &gt;&gt; FSL472 | FERODO &gt;&gt; FDB621 | FERODO &gt;&gt; FDB472 | BREMBO &gt;&gt; P28017 | MINTEX &gt;&gt; MDB1360 | MINTEX &gt;&gt; MDB1411 | PEX &gt;&gt; 7134 | ZIMMERMANN &gt;&gt; 213121302 | ZIMMERMANN &gt;&gt; 213121301 | DELPHI &gt;&gt; LP625 | DELPHI &gt;&gt; LP562 | DELPHI &gt;&gt; LP404 | METZGER &gt;&gt; 023302 | MAGNETI MARELLI &gt;&gt; 363702160965 | MAGNETI MARELLI &gt;&gt; 363702160913 | MAGNETI MARELLI &gt;&gt; 363702160861 | MAGNETI MARELLI &gt;&gt; 363700200034 | FEBI BILSTEIN &gt;&gt; 16309 | TRISCAN &gt;&gt; 811040925 | METELLI &gt;&gt; 2201690 | NK &gt;&gt; 229972 | OPTIMAL &gt;&gt; 9572 | MAPCO &gt;&gt; 6530 | MEYLE &gt;&gt; 0252131313W | KBP &gt;&gt; BP2029 | ROADHOUSE &gt;&gt; 223302 | REMSA &gt;&gt; 23302 | REMSA &gt;&gt; 023302 | JAPANPARTS &gt;&gt; PP404AF | ICER &gt;&gt; 181045 | ICER &gt;&gt; 180753701 | ICER &gt;&gt; 180753 | ICER &gt;&gt; 180752701 | ICER &gt;&gt; 180752 | ICER &gt;&gt; 180751 | ICER &gt;&gt; 180600 | VAICO &gt;&gt; V260022 | QH Benelux &gt;&gt; 2638 | A.B.S. &gt;&gt; 36636OE | A.B.S. &gt;&gt; 36636 | A.B.S. &gt;&gt; 36619 | LPR &gt;&gt; 05P072 | LPR &gt;&gt; 05P928 | LPR &gt;&gt; 05P507 | LPR &gt;&gt; 05P506 | TRW &gt;&gt; GDB775 | TRW &gt;&gt; GDB499 | SWAG &gt;&gt; 85916309 | ASHIKA &gt;&gt; 5104404 | NIPPARTS &gt;&gt; J3614004 | NIPPARTS &gt;&gt; J3614002 | Brake ENGINEERING &gt;&gt; PA545 | Brake ENGINEERING &gt;&gt; PA491 | HELLA PAGID &gt;&gt; 8DB355017151 | GIRLING &gt;&gt; 6107759 | GIRLING &gt;&gt; 6104999 | KAWE &gt;&gt; 023302 | fri.tech. &gt;&gt; 1720 | COMLINE &gt;&gt; ADB3242 | STOP &gt;&gt; 571977S</t>
  </si>
  <si>
    <t>Fitting Position,  &gt;&gt; Rear Axle | Length, mm &gt;&gt; 88,7 | Height, mm &gt;&gt; 35 | Thickness/Strength, mm &gt;&gt; 12,5 |  &gt;&gt; with acoustic wear warning | Specification,  &gt;&gt; ECE R90 APPROVED |  &gt;&gt; with brake caliper screws |  &gt;&gt; with anti-squeak plate</t>
  </si>
  <si>
    <t>WVA Number,  &gt;&gt; 21312 | Length 1, mm &gt;&gt; 88,8 | Length 2, mm &gt;&gt; 88,8</t>
  </si>
  <si>
    <t>HONDA &gt;&gt; 06022SP8000 | HONDA &gt;&gt; 43022SE0506 | HONDA &gt;&gt; 43022SE0931 | HONDA &gt;&gt; 43022SE0S00 | HONDA &gt;&gt; 43022SF1000 | HONDA &gt;&gt; 43022SE0N50 | HONDA &gt;&gt; 43022ST3E00 | HONDA &gt;&gt; 43022SE0526 | HONDA &gt;&gt; 43022SE0930 | HONDA &gt;&gt; 43022ST3E50HE | HONDA &gt;&gt; 43022SE0525 | HONDA &gt;&gt; 43022SF1010 | HONDA &gt;&gt; 43022SH3932 | HONDA &gt;&gt; 43022SD2307 | HONDA &gt;&gt; 43022SD2930 | HONDA &gt;&gt; 43022SR3010 | HONDA &gt;&gt; 43022SR3000 | HONDA &gt;&gt; 43022SK3E00 | HONDA &gt;&gt; 43022SK7000 | HONDA &gt;&gt; 43022SH3G00 | HONDA &gt;&gt; 43022SH3G01 | HONDA &gt;&gt; 43022SH3J00 | HONDA &gt;&gt; 43022SF1505 | HONDA &gt;&gt; 43022SF1S00 | HONDA &gt;&gt; 43022SH3305 | HONDA &gt;&gt; 43022SH3931 | HONDA &gt;&gt; 43022SF1S01 | HONDA &gt;&gt; 43022SF1515 | HONDA &gt;&gt; 43022SF1525 | MG &gt;&gt; GBP90347AF | ROVER &gt;&gt; GBP90316 | ROVER &gt;&gt; GBP90316AF | ROVER &gt;&gt; EJP1437 | ATE &gt;&gt; 13046059982 | PAGID &gt;&gt; T0034 | VALEO &gt;&gt; 598053 | TEXTAR &gt;&gt; 2131201 | JURID &gt;&gt; 572137J | JURID &gt;&gt; 572136J | JURID &gt;&gt; 572135J | JURID &gt;&gt; 571977J | JURID &gt;&gt; 571977D | BENDIX &gt;&gt; 571977X | QUINTON HAZELL &gt;&gt; BLF448 | FERODO &gt;&gt; FDB621 | FERODO &gt;&gt; FDB472 | BREMBO &gt;&gt; P28017 | BREMBO &gt;&gt; P28011 | MINTEX &gt;&gt; MDB1411 | MINTEX &gt;&gt; MDB1360 | DELPHI &gt;&gt; LP625 | TRISCAN &gt;&gt; 811040925 | TRISCAN &gt;&gt; 811010014 | METELLI &gt;&gt; 2201701 | METELLI &gt;&gt; 2201700 | OPTIMAL &gt;&gt; 12060 | OPTIMAL &gt;&gt; 9462 | OPTIMAL &gt;&gt; 9572 | ROADHOUSE &gt;&gt; 223302 | ROADHOUSE &gt;&gt; 223300 | REMSA &gt;&gt; 023302 | REMSA &gt;&gt; 018302 | REMSA &gt;&gt; 023300 | ICER &gt;&gt; 180752 | ICER &gt;&gt; 180752701 | QH Benelux &gt;&gt; HP2638 | QH Benelux &gt;&gt; HP2508 | QH Benelux &gt;&gt; HP2403 | LPR &gt;&gt; 05P928 | LPR &gt;&gt; 05P507 | LPR &gt;&gt; 05P506 | LPR &gt;&gt; 05P072 | TRUSTING &gt;&gt; 1760 | TRUSTING &gt;&gt; 1731 | TRUSTING &gt;&gt; 1730 | TRUSTING &gt;&gt; 1720 | TRW &gt;&gt; GDB775 | TRW &gt;&gt; GDB499 | GIRLING &gt;&gt; 6107759 | GIRLING &gt;&gt; 6104999 | CIFAM &gt;&gt; 8221730 | CIFAM &gt;&gt; 8221701 | CIFAM &gt;&gt; 8221700</t>
  </si>
  <si>
    <t>Brake System,  &gt;&gt; AKEBONO | WVA Number,  &gt;&gt; 21312 | Length 1, mm &gt;&gt; 88,9 | Height 1, mm &gt;&gt; 35,2 | Thickness/Strength 1, mm &gt;&gt; 13 | Number of Wear Indicators, Per axle &gt;&gt; 2</t>
  </si>
  <si>
    <t>HONDA &gt;&gt; 43022SE0930 | HONDA &gt;&gt; 43022SE0N50 | HONDA &gt;&gt; 43022SH3305 | HONDA &gt;&gt; 43022SE0931 | ROVER &gt;&gt; GBP316AF | ATE &gt;&gt; 605998 | ATE &gt;&gt; 13046059982 | PAGID &gt;&gt; T0034 | LUCAS ELECTRICAL &gt;&gt; GDB0499 | BOSCH &gt;&gt; 986461131 | TEXTAR &gt;&gt; 2131201 | JURID &gt;&gt; 572137J | JURID &gt;&gt; 572136J | JURID &gt;&gt; 572135J | BENDIX &gt;&gt; 572136B | BENDIX &gt;&gt; 572136 | BENDIX &gt;&gt; 572135B | FTE &gt;&gt; BL1288A2 | FTE &gt;&gt; BL1291A2 | QUINTON HAZELL &gt;&gt; BP448 | QUINTON HAZELL &gt;&gt; QFD7448AF | FERODO &gt;&gt; FDB472 | BREMBO &gt;&gt; P28017 | HERTH+BUSS ELPARTS &gt;&gt; J3614004 | HERTH+BUSS ELPARTS &gt;&gt; J3614003 | HERTH+BUSS ELPARTS &gt;&gt; J3614002 | MINTEX &gt;&gt; MDB2191 | MINTEX &gt;&gt; MDB1411 | ROULUNDS RUBBER &gt;&gt; 456381 | ROADHOUSE &gt;&gt; 223300 | REMSA &gt;&gt; 023352 | REMSA &gt;&gt; 23300 | ICER &gt;&gt; 180752 | AUGROS &gt;&gt; 55585210 | TRW &gt;&gt; GDB499 | HAVAM &gt;&gt; 2638 | FMSI-VERBAND &gt;&gt; D3397233 | APEC braking &gt;&gt; PAD611 | RAICAM &gt;&gt; 04530 | VEMA &gt;&gt; 834530 | BOSCH &gt;&gt; BP582 | BOSCH &gt;&gt; 0986461131 | VALEO &gt;&gt; 551728 | FERODO &gt;&gt; FDB621 | FERODO &gt;&gt; FDB0472</t>
  </si>
  <si>
    <t>for manufacturer,  &gt;&gt; TRW | Thickness/Strength, mm &gt;&gt; 14,5 | Appr. stamp,  &gt;&gt; E1 90R - 01023/247 | Width, mm &gt;&gt; 114 | Height, mm &gt;&gt; 54,9 |  &gt;&gt; not prepared for wear indicator | Brake System,  &gt;&gt; Lucas-Girling</t>
  </si>
  <si>
    <t>CHEVROLET &gt;&gt; S4521001 | CHEVROLET &gt;&gt; S4521006 | CHEVROLET &gt;&gt; 96253368 | CHEVROLET &gt;&gt; 96245179 | DAEWOO &gt;&gt; 96391892 | DAEWOO &gt;&gt; 96253368 | DAEWOO &gt;&gt; 96245179 | DAEWOO &gt;&gt; S4521006 | DAEWOO &gt;&gt; S4521001 | AC &gt;&gt; AC666181D | ATE &gt;&gt; 13046059932 | PAGID &gt;&gt; T1253 | LUCAS ELECTRICAL &gt;&gt; GDB3172 | BOSCH &gt;&gt; 0986424757 | TEXTAR &gt;&gt; 2323701 | JURID &gt;&gt; 572406J | FTE &gt;&gt; BL1705A3 | FTE &gt;&gt; BL1705F5 | QUINTON HAZELL &gt;&gt; BP1070 | FERODO &gt;&gt; FDB1336 | MINTEX &gt;&gt; MDB1899 | PEX &gt;&gt; 7556 | METZGER &gt;&gt; 064610 | ROULUNDS RUBBER &gt;&gt; 666181 | FEBI BILSTEIN &gt;&gt; 16507 | TRISCAN &gt;&gt; 28BK646 | TRISCAN &gt;&gt; 1100064610 | TRISCAN &gt;&gt; 23237 | TRISCAN &gt;&gt; 02MDB1899 | TRISCAN &gt;&gt; P0746310 | TRISCAN &gt;&gt; 4141336 | TRISCAN &gt;&gt; 40T1253 | TRISCAN &gt;&gt; 403610901 | TRISCAN &gt;&gt; 403610900 | BUDWEG CALIPER &gt;&gt; 523172 | NK &gt;&gt; 225003 | ROADHOUSE &gt;&gt; 264610 | REMSA &gt;&gt; 064610 | ICER &gt;&gt; 181261 | QH Benelux &gt;&gt; 7097 | A.B.S. &gt;&gt; 37054 | LPR &gt;&gt; 05P694 | TRW &gt;&gt; GDB3172 | SWAG &gt;&gt; 89916507 | ACDelco &gt;&gt; AC666181D | NECTO &gt;&gt; FD6817 | NIPPARTS &gt;&gt; J3610901 | NIPPARTS &gt;&gt; J3610900 | WOKING &gt;&gt; P746310 | FIRST LINE &gt;&gt; FBP3277</t>
  </si>
  <si>
    <t>Thickness/Strength, mm &gt;&gt; 13,4 | Appr. stamp,  &gt;&gt; E1 90R - 01023/402 | Width, mm &gt;&gt; 88,8 | Height, mm &gt;&gt; 36,8 |  &gt;&gt; not prepared for wear indicator | Brake System,  &gt;&gt; Akebono</t>
  </si>
  <si>
    <t>HONDA &gt;&gt; 43022S04E02 | HONDA &gt;&gt; 43022S04E03 | HONDA &gt;&gt; 43022SO4E02 | LUCAS ELECTRICAL &gt;&gt; GDB3113 | BOSCH &gt;&gt; 0986461131 | TEXTAR &gt;&gt; 2173813005 | TEXTAR &gt;&gt; 2173801 | JURID &gt;&gt; 572134J | BENDIX &gt;&gt; 572134 | BENDIX &gt;&gt; 572134B | HERTH+BUSS JAKOPARTS &gt;&gt; J3614007 | QUINTON HAZELL &gt;&gt; BP836 | FERODO &gt;&gt; FDB472 | TRISCAN &gt;&gt; P0333320 | TRISCAN &gt;&gt; 02MBD1616 | TRISCAN &gt;&gt; 21738 | TRISCAN &gt;&gt; 414472 | TRISCAN &gt;&gt; FDB472 | TRISCAN &gt;&gt; 403614007 | TRISCAN &gt;&gt; 28BK943 | TRISCAN &gt;&gt; 1100023320 | NK &gt;&gt; 222627 | REMSA &gt;&gt; 023320 | NECTO &gt;&gt; FD6344 | NIPPARTS &gt;&gt; J3614007 | WOKING &gt;&gt; P333320</t>
  </si>
  <si>
    <t>HONDA &gt;&gt; 43022SE0000 | HONDA &gt;&gt; 43022SE0930 | HONDA &gt;&gt; 06430SAAJ50 | HONDA &gt;&gt; 43022SR3G01 | HONDA &gt;&gt; 43022ST3E50 | HONDA &gt;&gt; 43022ST3E00 | HONDA &gt;&gt; 43022SE0931 | HONDA &gt;&gt; 43022SE0S00 | HONDA &gt;&gt; 43022SF1S00 | HONDA &gt;&gt; 43022SF1S01 | ROVER &gt;&gt; GBP90316AF | ROVER &gt;&gt; GBP90316 | ROVER &gt;&gt; EJP1437 | ATE &gt;&gt; 605998 | ATE &gt;&gt; 13046059982 | PAGID &gt;&gt; T0034 | VALEO &gt;&gt; 598053 | VALEO &gt;&gt; 598286 | BOSCH &gt;&gt; 0986494128 | BOSCH &gt;&gt; 0986461131 | TEXTAR &gt;&gt; 2131213005 | TEXTAR &gt;&gt; 2131201 | TEXTAR &gt;&gt; J3614007130 | JURID &gt;&gt; 572136J | JURID &gt;&gt; 572136D | JURID &gt;&gt; 571977D | JURID &gt;&gt; 571977J | BENDIX &gt;&gt; 572136X | BENDIX &gt;&gt; 572136B | BENDIX &gt;&gt; 571977X | BENDIX &gt;&gt; 572136 | BENDIX &gt;&gt; 571977B | BENDIX &gt;&gt; 571977 | QUINTON HAZELL &gt;&gt; BP448 | FERODO &gt;&gt; FSL621 | FERODO &gt;&gt; FDB621 | BREMBO &gt;&gt; P28017 | MINTEX &gt;&gt; MDB1411 | PEX &gt;&gt; 7134 | ZIMMERMANN &gt;&gt; 213121302 | DELPHI &gt;&gt; LP625 | NK &gt;&gt; 229972 | NK &gt;&gt; 222610 | ROADHOUSE &gt;&gt; 223385 | ROADHOUSE &gt;&gt; 223302 | REMSA &gt;&gt; 23385 | REMSA &gt;&gt; 23302 | REMSA &gt;&gt; PCA023385 | REMSA &gt;&gt; PCA023302 | REMSA &gt;&gt; 023302 | REMSA &gt;&gt; BPM023302 | REMSA &gt;&gt; BPM023385 | REMSA &gt;&gt; 023385 | JAPANPARTS &gt;&gt; PP404MK | JAPANPARTS &gt;&gt; PP404AF | JAPANPARTS &gt;&gt; JPP404AF | JAPANPARTS &gt;&gt; JPP404 | ICER &gt;&gt; 180752701 | ICER &gt;&gt; 180752 | LPR &gt;&gt; 05P506 | LPR &gt;&gt; 05P928 | TRUSTING &gt;&gt; 1731 | TRW &gt;&gt; GDB499 | FMSI-VERBAND &gt;&gt; D0374 | WAGNER LOCKHEED &gt;&gt; WBP21312A | MK Kashiyama &gt;&gt; D5042M | ASHIKA &gt;&gt; 5104425 | ASHIKA &gt;&gt; 5104404 | NECTO &gt;&gt; FD6458A | MGA &gt;&gt; 305 | APEC braking &gt;&gt; PAD688 | APEC braking &gt;&gt; PAD611 | BRECK &gt;&gt; 2131200C | fri.tech. &gt;&gt; 1731 | sbs &gt;&gt; 1501229972 | sbs &gt;&gt; 1501222610 | E.T.F. &gt;&gt; 120530 | E.T.F. &gt;&gt; 120396 | CIFAM &gt;&gt; 8221701 | DEX &gt;&gt; 21731 | WOKING &gt;&gt; P333302 | SAMKO &gt;&gt; 5SP928 | SAMKO &gt;&gt; 5SP506 | SIMER &gt;&gt; 442 | RAICAM &gt;&gt; 14530 | RAICAM &gt;&gt; 4530 | OPEN PARTS &gt;&gt; BPA023302 | COMLINE &gt;&gt; ADB3242 | STOP &gt;&gt; 572136S | STOP &gt;&gt; 571977S | GALFER &gt;&gt; 21121 | A.B.S. &gt;&gt; 36619 | A.B.S. &gt;&gt; 36636OE | A.B.S. &gt;&gt; 36636</t>
  </si>
  <si>
    <t>HONDA &gt;&gt; 45022SG0G13 | HONDA &gt;&gt; 45022SG0020 | HONDA &gt;&gt; 45022SG0527 | HONDA &gt;&gt; 45022SG0G11 | HONDA &gt;&gt; 45022SG0G12 | HONDA &gt;&gt; 45022SG0G10 | HONDA &gt;&gt; 45022SG0335 | HONDA &gt;&gt; 45022SG0507 | HONDA &gt;&gt; 45022SG0517 | HONDA &gt;&gt; 45022SE0G10 | HONDA &gt;&gt; 45022SG0000 | HONDA &gt;&gt; 45022SG0010 | ROVER &gt;&gt; SFP100210 | ROVER &gt;&gt; SFP100210EVA | ATE &gt;&gt; 13046059222 | ATE &gt;&gt; 605922 | PAGID &gt;&gt; T0370 | BOSCH &gt;&gt; 0986424260 | TEXTAR &gt;&gt; 2144617505 | TEXTAR &gt;&gt; 2144601 | JURID &gt;&gt; 572309D | JURID &gt;&gt; 572309J | BENDIX &gt;&gt; 572309X | BENDIX &gt;&gt; 572309 | BENDIX &gt;&gt; 572309B | QUINTON HAZELL &gt;&gt; BP548 | FERODO &gt;&gt; FDB748 | BREMBO &gt;&gt; P28013 | MINTEX &gt;&gt; MDB1589 | ZIMMERMANN &gt;&gt; 214461751 | DELPHI &gt;&gt; LP665 | NK &gt;&gt; 222612 | ROADHOUSE &gt;&gt; 232302 | REMSA &gt;&gt; BPM032302 | REMSA &gt;&gt; 032302 | REMSA &gt;&gt; 32302 | REMSA &gt;&gt; PCA032302 | JAPANPARTS &gt;&gt; PA426MK | JAPANPARTS &gt;&gt; PA426AF | JAPANPARTS &gt;&gt; JPA440AF | JAPANPARTS &gt;&gt; JPA440 | JAPANPARTS &gt;&gt; JPA426AF | JAPANPARTS &gt;&gt; JPA426 | JAPANPARTS &gt;&gt; PA440AF | JAPANPARTS &gt;&gt; PA440MK | ICER &gt;&gt; 180962 | LPR &gt;&gt; 05P555 | TRUSTING &gt;&gt; 1740 | TRW &gt;&gt; GDB3034 | FMSI-VERBAND &gt;&gt; D0409 | MK Kashiyama &gt;&gt; D5050M | ASHIKA &gt;&gt; 5004440 | ASHIKA &gt;&gt; 5004426 | NECTO &gt;&gt; FD6535A | MGA &gt;&gt; 413 | APEC braking &gt;&gt; PAD700 | APEC braking &gt;&gt; PAD704 | fri.tech. &gt;&gt; 1740 | sbs &gt;&gt; 1501222612 | E.T.F. &gt;&gt; 120480 | CIFAM &gt;&gt; 8221710 | DEX &gt;&gt; 21740 | WOKING &gt;&gt; P223302 | SAMKO &gt;&gt; 5SP555 | SIMER &gt;&gt; 4311 | RAICAM &gt;&gt; 14550 | RAICAM &gt;&gt; 4550 | COMLINE &gt;&gt; ADB3436 | STOP &gt;&gt; 572309S | GALFER &gt;&gt; 21160</t>
  </si>
  <si>
    <t>HONDA &gt;&gt; 45022SB2780 | HONDA &gt;&gt; 45022SE0G00 | ATE &gt;&gt; 605918 | ATE &gt;&gt; 13046059182 | PAGID &gt;&gt; T0365 | BOSCH &gt;&gt; 0986460936 | TEXTAR &gt;&gt; 2009902 | TEXTAR &gt;&gt; 2009915005 | JURID &gt;&gt; 572288D | JURID &gt;&gt; 572288J | BENDIX &gt;&gt; 572288X | BENDIX &gt;&gt; 572288 | BENDIX &gt;&gt; 572288B | QUINTON HAZELL &gt;&gt; BP425 | FERODO &gt;&gt; FDB454 | BREMBO &gt;&gt; P28010 | MINTEX &gt;&gt; MDB1344 | DELPHI &gt;&gt; LP525 | NK &gt;&gt; 222607 | ROADHOUSE &gt;&gt; 222802 | REMSA &gt;&gt; 22802 | REMSA &gt;&gt; PCA022802 | REMSA &gt;&gt; BPM022802 | REMSA &gt;&gt; 022802 | JAPANPARTS &gt;&gt; PA424MK | JAPANPARTS &gt;&gt; PA424AF | JAPANPARTS &gt;&gt; PA418MK | JAPANPARTS &gt;&gt; PA418AF | JAPANPARTS &gt;&gt; JPA418 | JAPANPARTS &gt;&gt; JPA424 | JAPANPARTS &gt;&gt; JPA424AF | JAPANPARTS &gt;&gt; JPA418AF | ICER &gt;&gt; 180750 | LPR &gt;&gt; 05P073 | TRUSTING &gt;&gt; 2461 | TRW &gt;&gt; GDB925 | FMSI-VERBAND &gt;&gt; D0334 | MK Kashiyama &gt;&gt; D5022M | ASHIKA &gt;&gt; 5004424 | ASHIKA &gt;&gt; 5004418 | NECTO &gt;&gt; FD6290A | APEC braking &gt;&gt; PAD502 | fri.tech. &gt;&gt; 2461 | sbs &gt;&gt; 1501222607 | E.T.F. &gt;&gt; 120349 | CIFAM &gt;&gt; 8222371 | DEX &gt;&gt; 22461 | WOKING &gt;&gt; P328302 | SAMKO &gt;&gt; 5SP073 | SIMER &gt;&gt; 6611 | COMLINE &gt;&gt; ADB3267 | STOP &gt;&gt; 572288S | GALFER &gt;&gt; 21073 | A.B.S. &gt;&gt; 36615</t>
  </si>
  <si>
    <t>Fitting Position,  &gt;&gt; Front Axle | Brake System,  &gt;&gt; Akebono |  &gt;&gt; incl. wear warning contact | Thickness/Strength, mm &gt;&gt; 14 | Length, mm &gt;&gt; 127,62 | Width, mm &gt;&gt; 48,64 |  &gt;&gt; Disc Brake</t>
  </si>
  <si>
    <t>HONDA &gt;&gt; 45022SD231277 | HONDA &gt;&gt; 45022SD2A02 | HONDA &gt;&gt; 45022SD2A11 | HONDA &gt;&gt; 45022SD2A12 | HONDA &gt;&gt; 45022SE0A12 | HONDA &gt;&gt; 45022SE0A10 | HONDA &gt;&gt; 45022SE0A11 | HONDA &gt;&gt; 45022SE0932 | HONDA &gt;&gt; 45022SD2A10 | HONDA &gt;&gt; 45022SE0A03 | HONDA &gt;&gt; 45022SE0A01 | HONDA &gt;&gt; 45022SE0A00 | HONDA &gt;&gt; 45022SD2A13 | HONDA &gt;&gt; 45022SD2506 | HONDA &gt;&gt; 45022SD2A01 | HONDA &gt;&gt; 45022SE0931 | HONDA &gt;&gt; 45022SE0912 | HONDA &gt;&gt; 45022SE0910 | HONDA &gt;&gt; 45022SE0911 | HONDA &gt;&gt; 45022SE0315 | HONDA &gt;&gt; 45022SD2505 | HONDA &gt;&gt; 45022SE0505 | HONDA &gt;&gt; 45022SE0325 | ACURA &gt;&gt; 1L0121253A | ATE &gt;&gt; 13046059182 | PAGID &gt;&gt; T0365 | VALEO &gt;&gt; 598190 | TEXTAR &gt;&gt; 2009915005T4047 | TEXTAR &gt;&gt; 2009902 | BENDIX &gt;&gt; 572288 | FERODO &gt;&gt; FDB454 | FERODO &gt;&gt; FDB0454 | BREMBO &gt;&gt; P28010 | DELPHI &gt;&gt; LP525 | REMSA &gt;&gt; 022802 | REMSA &gt;&gt; 0222802 | ICER &gt;&gt; 180750 | TRW &gt;&gt; GDB925 | TRW &gt;&gt; GDB0925 | NECTO &gt;&gt; FD6290A | SIMER &gt;&gt; 6611 | LUCAS &gt;&gt; GDB0925</t>
  </si>
  <si>
    <t>Fitting Position,  &gt;&gt; Front Axle | Brake System,  &gt;&gt; Akebono |  &gt;&gt; incl. wear warning contact | Thickness/Strength, mm &gt;&gt; 17,5 | Length, mm &gt;&gt; 129 | Width, mm &gt;&gt; 53 |  &gt;&gt; Disc Brake</t>
  </si>
  <si>
    <t>HONDA &gt;&gt; 45022SD4E00 | HONDA &gt;&gt; 45022SA4A12 | HONDA &gt;&gt; 45022SD4A11 | HONDA &gt;&gt; 45022SD4A13 | HONDA &gt;&gt; 45022SK7010 | HONDA &gt;&gt; 45022SD4020 | HONDA &gt;&gt; 45022SE0G10 | HONDA &gt;&gt; 45022SG0020 | HONDA &gt;&gt; 45022SA4A11 | HONDA &gt;&gt; 45022SG0G11 | HONDA &gt;&gt; 45022SG0G10 | HONDA &gt;&gt; 45022SG0335 | HONDA &gt;&gt; 45022SG0010 | ACURA &gt;&gt; 45022SD4E00 | PAGID &gt;&gt; T0370 | VALEO &gt;&gt; 551745 | BOSCH &gt;&gt; 0986424260 | TEXTAR &gt;&gt; 2144617505T4047 | TEXTAR &gt;&gt; 2144601 | JURID &gt;&gt; 572309J | BENDIX &gt;&gt; 572309B | QUINTON HAZELL &gt;&gt; BP548 | FERODO &gt;&gt; FDB748 | BREMBO &gt;&gt; P28013 | ZIMMERMANN &gt;&gt; 214461751 | DELPHI &gt;&gt; LP665 | METZGER &gt;&gt; 032302 | ROADHOUSE &gt;&gt; 232302 | REMSA &gt;&gt; 032302 | ICER &gt;&gt; 180962 | LPR &gt;&gt; 05P555 | TRW &gt;&gt; GDB3034 | NECTO &gt;&gt; FD6535A | GIRLING &gt;&gt; 6130349 | SIMER &gt;&gt; 4311 | LUCAS &gt;&gt; GDB3034</t>
  </si>
  <si>
    <t>Fitting Position,  &gt;&gt; Rear Axle | Brake System,  &gt;&gt; Akebono |  &gt;&gt; with acoustic wear warning | Thickness/Strength, mm &gt;&gt; 13 | Length, mm &gt;&gt; 88,9 | Width, mm &gt;&gt; 35,1 |  &gt;&gt; Disc Brake</t>
  </si>
  <si>
    <t>ACURA &gt;&gt; 06022SP8000 | VALEO &gt;&gt; 598286 | VALEO &gt;&gt; 598053 | JURID &gt;&gt; 572137J | BENDIX &gt;&gt; 572137 | FTE &gt;&gt; BL1288A2 | FERODO &gt;&gt; FDB621 | PEX &gt;&gt; 7134 | DELPHI &gt;&gt; LP625 | ROADHOUSE &gt;&gt; 223302 | REMSA &gt;&gt; 023302 | ICER &gt;&gt; 180753 | ICER &gt;&gt; 180753701 | A.B.S. &gt;&gt; 36636OE | A.B.S. &gt;&gt; 36636 | TRW &gt;&gt; GDB7525 | ACDelco &gt;&gt; AC456381D | SIMER &gt;&gt; 443</t>
  </si>
  <si>
    <t>Fitting Position,  &gt;&gt; Front Axle | Brake System,  &gt;&gt; Akebono | Length, mm &gt;&gt; 128 | Height, mm &gt;&gt; 48,5 | Thickness/Strength, mm &gt;&gt; 15 |  &gt;&gt; incl. wear warning contact | Number of Wear Indicators, Per axle &gt;&gt; 2 | Weight, kg &gt;&gt; 1,194</t>
  </si>
  <si>
    <t>HONDA &gt;&gt; 45022SD2A01 | HONDA &gt;&gt; 45022SD2505 | HONDA &gt;&gt; 45022SD2506 | HONDA &gt;&gt; 45022SD2A02 | HONDA &gt;&gt; 45022SE0316 | HONDA &gt;&gt; 45022SH3505 | HONDA &gt;&gt; 45022SH3G31 | HONDA &gt;&gt; 45022SH3G30 | HONDA &gt;&gt; 45022SE0912 | HONDA &gt;&gt; 45022SF1505 | HONDA &gt;&gt; 45022SD2A10 | HONDA &gt;&gt; 45022SD2A12 | HONDA &gt;&gt; 45022SD2A13 | HONDA &gt;&gt; 45022SE0306 | HONDA &gt;&gt; 45022SD2A11 | ACURA &gt;&gt; 45022SH3G31 | SPIDAN &gt;&gt; 31100 | SPIDAN &gt;&gt; 31277 | ATE &gt;&gt; 13046059202 | ATE &gt;&gt; 13046059182 | PAGID &gt;&gt; T0365 | LUCAS ELECTRICAL &gt;&gt; GDB925 | VALEO &gt;&gt; 598047 | VALEO &gt;&gt; 598248 | VALEO &gt;&gt; 597022 | VALEO &gt;&gt; 597028 | VALEO &gt;&gt; 597070 | VALEO &gt;&gt; 168420 | BOSCH &gt;&gt; 0986460936 | BOSCH &gt;&gt; 986460936 | LEMFORDER &gt;&gt; 26256 | LEMFORDER &gt;&gt; 26179 | TEXTAR &gt;&gt; 2009914005 | TEXTAR &gt;&gt; 2009902 | TEXTAR &gt;&gt; 2132201 | TEXTAR &gt;&gt; 2009915005 | JURID &gt;&gt; 572287J | JURID &gt;&gt; 572288J | BENDIX &gt;&gt; 572329B | BENDIX &gt;&gt; 572288B | BENDIX &gt;&gt; 572288 | BENDIX &gt;&gt; 572287B | BENDIX &gt;&gt; DB429 | FTE &gt;&gt; BL1291A2 | HERTH+BUSS JAKOPARTS &gt;&gt; J3604023 | HERTH+BUSS JAKOPARTS &gt;&gt; J3604018 | QUINTON HAZELL &gt;&gt; BP425 | QUINTON HAZELL &gt;&gt; BLF425 | FERODO &gt;&gt; TAR454 | FERODO &gt;&gt; FDB454 | BREMBO &gt;&gt; P28010 | MINTEX &gt;&gt; MDB1586 | MINTEX &gt;&gt; MDB1344 | PEX &gt;&gt; 7325 | PEX &gt;&gt; 7264 | PEX &gt;&gt; 7096 | DELPHI &gt;&gt; LP525 | METZGER &gt;&gt; 022902 | MAGNETI MARELLI &gt;&gt; 363702160984 | MAGNETI MARELLI &gt;&gt; 363702160918 | MAGNETI MARELLI &gt;&gt; 363702160903 | ROULUNDS RUBBER &gt;&gt; 496881 | TRISCAN &gt;&gt; 811040853 | NK &gt;&gt; 222607 | OPTIMAL &gt;&gt; 9571 | OPTIMAL &gt;&gt; 9457 | MAPCO &gt;&gt; 6434 | KBP &gt;&gt; BP2011 | KBP &gt;&gt; BP2008 | ROADHOUSE &gt;&gt; D3347229 | REMSA &gt;&gt; 022802 | JAPANPARTS &gt;&gt; PA424AF | JAPANPARTS &gt;&gt; PA423AF | ICER &gt;&gt; 180755 | ICER &gt;&gt; 180750 | QH Benelux &gt;&gt; 2489 | A.B.S. &gt;&gt; 36615 | LPR &gt;&gt; 05P073 | TRW &gt;&gt; GDB925 | ACDelco &gt;&gt; AC496881D | SCT Germany &gt;&gt; SP238 | ASHIKA &gt;&gt; 5004424 | ASHIKA &gt;&gt; 5004423 | NECTO &gt;&gt; FD6526N | NECTO &gt;&gt; FD6526A | NECTO &gt;&gt; FD6290A | Brake ENGINEERING &gt;&gt; PA463 | APEC braking &gt;&gt; PAD502 | GIRLING &gt;&gt; 6109259 | E.T.F. &gt;&gt; 120479 | E.T.F. &gt;&gt; 120349 | WOKING &gt;&gt; P328302 | BLUE PRINT &gt;&gt; ADH24216</t>
  </si>
  <si>
    <t xml:space="preserve"> &gt;&gt; with accessories | Fitting Position,  &gt;&gt; Rear Axle | Brake System,  &gt;&gt; Akebono | Appr. stamp,  &gt;&gt; E190R-01023/402 | Length, mm &gt;&gt; 88,8 | Height, mm &gt;&gt; 36,8 | Thickness/Strength, mm &gt;&gt; 13,4 | Weight, kg &gt;&gt; 0,554 |  &gt;&gt; with adhesive film |  &gt;&gt; with screws</t>
  </si>
  <si>
    <t>HONDA &gt;&gt; 43022S04E02 | HONDA &gt;&gt; 43022SO4E02 | PAGID &gt;&gt; T3107 | LUCAS ELECTRICAL &gt;&gt; GDB3113 | VALEO &gt;&gt; 598437 | BOSCH &gt;&gt; 0986461131 | TEXTAR &gt;&gt; 2173813005 | TEXTAR &gt;&gt; 2173801 | JURID &gt;&gt; 572134J | BENDIX &gt;&gt; 572134 | BENDIX &gt;&gt; 572134B | HERTH+BUSS JAKOPARTS &gt;&gt; J3614004 | FERODO &gt;&gt; FDB472 | BREMBO &gt;&gt; P28011 | MINTEX &gt;&gt; MDB2166 | PEX &gt;&gt; 7374 | DELPHI &gt;&gt; LP1456 | MAGNETI MARELLI &gt;&gt; 363702160765 | METELLI &gt;&gt; 2201761 | NK &gt;&gt; 222627 | ROADHOUSE &gt;&gt; D7437233 | ROADHOUSE &gt;&gt; D5647443 | REMSA &gt;&gt; 023320 | QH Benelux &gt;&gt; 2802 | A.B.S. &gt;&gt; 36870 | LPR &gt;&gt; 05P505 | TRW &gt;&gt; GDB3113 | ACDelco &gt;&gt; AC422881D | NIPPARTS &gt;&gt; J361408 | APEC braking &gt;&gt; PAD811 | GIRLING &gt;&gt; 6131139 | WOKING &gt;&gt; P333320</t>
  </si>
  <si>
    <t xml:space="preserve"> &gt;&gt; with accessories | Fitting Position,  &gt;&gt; Rear Axle | Brake System,  &gt;&gt; Girling | Appr. stamp,  &gt;&gt; E190R-01023/247 | Length, mm &gt;&gt; 114 | Height, mm &gt;&gt; 54,9 | Thickness/Strength, mm &gt;&gt; 14,5 | Weight, kg &gt;&gt; 0,823 |  &gt;&gt; with adhesive film |  &gt;&gt; with spring</t>
  </si>
  <si>
    <t>CHEVROLET &gt;&gt; 96391892 | CHEVROLET &gt;&gt; AW346513 | DAEWOO &gt;&gt; S4521001 | DAEWOO &gt;&gt; 96245179 | DAEWOO &gt;&gt; 96253368 | DAEWOO &gt;&gt; S4521006 | ALFAROME/FIAT/LANCI &gt;&gt; 89296391 | SPIDAN &gt;&gt; 32322 | ATE &gt;&gt; 13046059932 | PAGID &gt;&gt; T1253 | LUCAS ELECTRICAL &gt;&gt; GDB3172 | VALEO &gt;&gt; 598902 | BOSCH &gt;&gt; 0986424757 | LEMFORDER &gt;&gt; 26507 | TEXTAR &gt;&gt; 2323714514 | TEXTAR &gt;&gt; 2323701 | JURID &gt;&gt; 572407J | JURID &gt;&gt; 572406J | BENDIX &gt;&gt; 572407B | BENDIX &gt;&gt; DB1204 | BENDIX &gt;&gt; 572406B | QUINTON HAZELL &gt;&gt; BP1070 | QUINTON HAZELL &gt;&gt; BLF1070 | FERODO &gt;&gt; FSL1336 | FERODO &gt;&gt; FDB1336 | FERODO &gt;&gt; TAR1336 | BREMBO &gt;&gt; P15005 | MINTEX &gt;&gt; MDB1899 | PEX &gt;&gt; 7556 | ZIMMERMANN &gt;&gt; 232371551 | DELPHI &gt;&gt; LP1424 | METZGER &gt;&gt; 064610 | MAGNETI MARELLI &gt;&gt; 363702161142 | MAGNETI MARELLI &gt;&gt; 363702161128 | ROULUNDS RUBBER &gt;&gt; 666181 | FEBI BILSTEIN &gt;&gt; 16507 | TRISCAN &gt;&gt; 811021004 | METELLI &gt;&gt; 2203690 | NK &gt;&gt; 225003 | OPTIMAL &gt;&gt; 10220 | KBP &gt;&gt; BP1005 | ROADHOUSE &gt;&gt; D724A7669 | ROADHOUSE &gt;&gt; D7247591 | REMSA &gt;&gt; 064610 | JAPANPARTS &gt;&gt; PP398AF | ICER &gt;&gt; 181261 | QH Benelux &gt;&gt; 7097 | QH Benelux &gt;&gt; 7098 | A.B.S. &gt;&gt; 37054 | TRW &gt;&gt; GDB3172 | SWAG &gt;&gt; 89916507 | ACDelco &gt;&gt; AC666181D | ASHIKA &gt;&gt; 5103398 | NECTO &gt;&gt; FD6817N | NECTO &gt;&gt; FD6817A | NIPPARTS &gt;&gt; J3610901 | NIPPARTS &gt;&gt; J3610900 | MGA &gt;&gt; 612 | Brake ENGINEERING &gt;&gt; PA1191 | APEC braking &gt;&gt; PAD1008 | GIRLING &gt;&gt; 6131721 | fri.tech. &gt;&gt; 3780 | E.T.F. &gt;&gt; 120851 | WOKING &gt;&gt; P746310 | BLUE PRINT &gt;&gt; ADG04212 | GALFER &gt;&gt; 2381900</t>
  </si>
  <si>
    <t>HONDA &gt;&gt; 45022SD2A01 | HONDA &gt;&gt; 45022SD2505 | HONDA &gt;&gt; 45022SD2506 | HONDA &gt;&gt; 45022SD2A02 | HONDA &gt;&gt; 45022SE0316 | HONDA &gt;&gt; 45022SH3505 | HONDA &gt;&gt; 45022SH3G31 | HONDA &gt;&gt; 45022SH3G30 | HONDA &gt;&gt; 45022SE0912 | HONDA &gt;&gt; 45022SF1505 | HONDA &gt;&gt; 45022SD2A10 | HONDA &gt;&gt; 45022SD2A12 | HONDA &gt;&gt; 45022SD2A13 | HONDA &gt;&gt; 45022SE0306 | HONDA &gt;&gt; 45022SD2A11 | ACURA &gt;&gt; 45022SH3G31 | SPIDAN &gt;&gt; 31100 | SPIDAN &gt;&gt; 31277 | ATE &gt;&gt; 13046059182 | ATE &gt;&gt; 13046059202 | PAGID &gt;&gt; T0365 | VALEO &gt;&gt; 598047 | VALEO &gt;&gt; 598248 | VALEO &gt;&gt; 597022 | VALEO &gt;&gt; 597028 | VALEO &gt;&gt; 597070 | VALEO &gt;&gt; 168420 | BOSCH &gt;&gt; 0986460936 | BOSCH &gt;&gt; 986460936 | LEMFORDER &gt;&gt; 26256 | LEMFORDER &gt;&gt; 26179 | TEXTAR &gt;&gt; 2009914005 | TEXTAR &gt;&gt; 2009902 | TEXTAR &gt;&gt; 2132201 | TEXTAR &gt;&gt; 2009915005 | JURID &gt;&gt; 572288J | JURID &gt;&gt; 572287J | BENDIX &gt;&gt; 572329B | BENDIX &gt;&gt; 572288B | BENDIX &gt;&gt; 572288 | BENDIX &gt;&gt; 572287B | BENDIX &gt;&gt; DB429 | FTE &gt;&gt; BL1291A2 | HERTH+BUSS JAKOPARTS &gt;&gt; J3604023 | HERTH+BUSS JAKOPARTS &gt;&gt; J3604018 | QUINTON HAZELL &gt;&gt; BP425 | QUINTON HAZELL &gt;&gt; BLF425 | FERODO &gt;&gt; TAR454 | FERODO &gt;&gt; FDB454 | BREMBO &gt;&gt; P28010 | MINTEX &gt;&gt; MDB1586 | MINTEX &gt;&gt; MDB1344 | PEX &gt;&gt; 7325 | PEX &gt;&gt; 7264 | PEX &gt;&gt; 7096 | DELPHI &gt;&gt; LP525 | METZGER &gt;&gt; 022902 | MAGNETI MARELLI &gt;&gt; 363702160984 | MAGNETI MARELLI &gt;&gt; 363702160918 | MAGNETI MARELLI &gt;&gt; 363702160903 | ROULUNDS RUBBER &gt;&gt; 496881 | TRISCAN &gt;&gt; 811040853 | NK &gt;&gt; 222607 | OPTIMAL &gt;&gt; 9571 | OPTIMAL &gt;&gt; 9457 | MAPCO &gt;&gt; 6434 | KBP &gt;&gt; BP2011 | KBP &gt;&gt; BP2008 | ROADHOUSE &gt;&gt; 222802 | REMSA &gt;&gt; D3347229 | JAPANPARTS &gt;&gt; PA424AF | JAPANPARTS &gt;&gt; PA423AF | ICER &gt;&gt; 180755 | ICER &gt;&gt; 180750 | QH Benelux &gt;&gt; 2489 | A.B.S. &gt;&gt; 36615 | LPR &gt;&gt; 05P073 | TRW &gt;&gt; GDB925 | ACDelco &gt;&gt; AC496881D | SCT Germany &gt;&gt; SP238 | ASHIKA &gt;&gt; 5004424 | ASHIKA &gt;&gt; 5004423 | NECTO &gt;&gt; FD6526N | NECTO &gt;&gt; FD6526A | NECTO &gt;&gt; FD6290A | Brake ENGINEERING &gt;&gt; PA463 | APEC braking &gt;&gt; PAD502 | GIRLING &gt;&gt; 6109259 | E.T.F. &gt;&gt; 120479 | E.T.F. &gt;&gt; 120349 | WOKING &gt;&gt; P328302 | BLUE PRINT &gt;&gt; ADH24216</t>
  </si>
  <si>
    <t>HONDA &gt;&gt; 43022S04E02 | HONDA &gt;&gt; 43022SO4E02 | PAGID &gt;&gt; T3107 | VALEO &gt;&gt; 598437 | BOSCH &gt;&gt; 0986461131 | TEXTAR &gt;&gt; 2173801 | TEXTAR &gt;&gt; 2173813005 | JURID &gt;&gt; 572134J | BENDIX &gt;&gt; 572134 | BENDIX &gt;&gt; 572134B | HERTH+BUSS JAKOPARTS &gt;&gt; J3614004 | FERODO &gt;&gt; FDB472 | BREMBO &gt;&gt; P28011 | MINTEX &gt;&gt; MDB2166 | PEX &gt;&gt; 7374 | DELPHI &gt;&gt; LP1456 | MAGNETI MARELLI &gt;&gt; 363702160765 | METELLI &gt;&gt; 2201761 | NK &gt;&gt; 222627 | ROADHOUSE &gt;&gt; 223320 | REMSA &gt;&gt; D7437233 | REMSA &gt;&gt; D5647443 | QH Benelux &gt;&gt; 2802 | A.B.S. &gt;&gt; 36870 | LPR &gt;&gt; 05P505 | TRW &gt;&gt; GDB3113 | ACDelco &gt;&gt; AC422881D | NIPPARTS &gt;&gt; J361408 | APEC braking &gt;&gt; PAD811 | GIRLING &gt;&gt; 6131139 | WOKING &gt;&gt; P333320</t>
  </si>
  <si>
    <t xml:space="preserve"> &gt;&gt; with accessories | Fitting Position,  &gt;&gt; Rear Axle | Height, mm &gt;&gt; 54,9 | Thickness/Strength, mm &gt;&gt; 14,5 | Weight, kg &gt;&gt; 0,823 |  &gt;&gt; with adhesive film |  &gt;&gt; with spring</t>
  </si>
  <si>
    <t>MITSUBISHI &gt;&gt; AW346513 | CHEVROLET &gt;&gt; 96391892 | DAEWOO &gt;&gt; S4521001 | DAEWOO &gt;&gt; 96245179 | DAEWOO &gt;&gt; 96253368 | DAEWOO &gt;&gt; S4521006 | ALFAROME/FIAT/LANCI &gt;&gt; 89296391 | SPIDAN &gt;&gt; 32322 | ATE &gt;&gt; 13046059932 | PAGID &gt;&gt; T1253 | VALEO &gt;&gt; 598902 | BOSCH &gt;&gt; 0986424757 | LEMFORDER &gt;&gt; 26507 | TEXTAR &gt;&gt; 2323714514 | TEXTAR &gt;&gt; 2323701 | JURID &gt;&gt; 572407J | JURID &gt;&gt; 572406J | BENDIX &gt;&gt; 572407B | BENDIX &gt;&gt; DB1204 | BENDIX &gt;&gt; 572406B | QUINTON HAZELL &gt;&gt; BP1070 | QUINTON HAZELL &gt;&gt; BLF1070 | FERODO &gt;&gt; FSL1336 | FERODO &gt;&gt; FDB1336 | FERODO &gt;&gt; TAR1336 | BREMBO &gt;&gt; P15005 | MINTEX &gt;&gt; MDB1899 | PEX &gt;&gt; 7556 | ZIMMERMANN &gt;&gt; 232371551 | DELPHI &gt;&gt; LP1424 | METZGER &gt;&gt; 064610 | MAGNETI MARELLI &gt;&gt; 363702161142 | MAGNETI MARELLI &gt;&gt; 363702161128 | ROULUNDS RUBBER &gt;&gt; 666181 | FEBI BILSTEIN &gt;&gt; 16507 | TRISCAN &gt;&gt; 811021004 | METELLI &gt;&gt; 2203690 | NK &gt;&gt; 225003 | OPTIMAL &gt;&gt; 10220 | KBP &gt;&gt; BP1005 | ROADHOUSE &gt;&gt; 264610 | REMSA &gt;&gt; D724A7669 | REMSA &gt;&gt; D7247591 | JAPANPARTS &gt;&gt; PP398AF | ICER &gt;&gt; 181261 | QH Benelux &gt;&gt; 7097 | QH Benelux &gt;&gt; 7098 | A.B.S. &gt;&gt; 37054 | TRUSTING &gt;&gt; 3780 | TRW &gt;&gt; GDB3172 | SWAG &gt;&gt; 89916507 | ACDelco &gt;&gt; AC666181D | ASHIKA &gt;&gt; 5103398 | NECTO &gt;&gt; FD6924A | NECTO &gt;&gt; FD6817N | NECTO &gt;&gt; FD6817A | NIPPARTS &gt;&gt; J3610901 | NIPPARTS &gt;&gt; J3610900 | MGA &gt;&gt; 612 | Brake ENGINEERING &gt;&gt; PA1191 | APEC braking &gt;&gt; PAD1008 | GIRLING &gt;&gt; 6131721 | E.T.F. &gt;&gt; 120851 | WOKING &gt;&gt; P746310 | BLUE PRINT &gt;&gt; ADG04212 | GALFER &gt;&gt; 2381900</t>
  </si>
  <si>
    <t>ICER</t>
  </si>
  <si>
    <t xml:space="preserve"> &gt;&gt; Disc Brake | Length, mm &gt;&gt; 127,7 | Height, mm &gt;&gt; 48,7 | Thickness/Strength, mm &gt;&gt; 14 | Quality,  &gt;&gt; 300 | Weight, kg &gt;&gt; 1.176 | Axle Vers.,  &gt;&gt; Front | Techn. Info. No.,  &gt;&gt; 180750 | Brake System,  &gt;&gt; Akebono |  &gt;&gt; incl. wear warning contact</t>
  </si>
  <si>
    <t>HONDA &gt;&gt; 45022SE0912 | HONDA &gt;&gt; 45022SD2A11 | HONDA &gt;&gt; 45022SE0325 | HONDA &gt;&gt; 45022SE0910 | HONDA &gt;&gt; 45022SE0911 | HONDA &gt;&gt; 45022SE0505 | HONDA &gt;&gt; 45022SD2A12 | HONDA &gt;&gt; 45022SD2A13 | HONDA &gt;&gt; 45022SE0315 | HONDA &gt;&gt; 45022SE0931 | HONDA &gt;&gt; 45022SD2506 | HONDA &gt;&gt; 45022SD2A02 | HONDA &gt;&gt; 45022SD2A10 | HONDA &gt;&gt; 45022SD2A01 | HONDA &gt;&gt; 45022SE0932 | HONDA &gt;&gt; 45022SD231277 | HONDA &gt;&gt; 45022SD2505 | HONDA &gt;&gt; 45022SE0A11 | HONDA &gt;&gt; 45022SE0A10 | HONDA &gt;&gt; 45022SE0A01 | HONDA &gt;&gt; 45022SE0A03 | HONDA &gt;&gt; 45022SE0A00 | ACURA &gt;&gt; 1L0121253A | SPIDAN &gt;&gt; 31277 | ATE &gt;&gt; 605918 | ATE &gt;&gt; 13046059182 | PAGID &gt;&gt; T0365 | LUCAS ELECTRICAL &gt;&gt; GDB925 | VALEO &gt;&gt; 598190 | BOSCH &gt;&gt; 0986460936 | TEXTAR &gt;&gt; 2009915005T4047 | TEXTAR &gt;&gt; 2009902 | JURID &gt;&gt; 572288J | BENDIX &gt;&gt; 572288B | FTE &gt;&gt; BL1021A2 | LOBRO &gt;&gt; 31277 | QUINTON HAZELL &gt;&gt; BP425 | FERODO &gt;&gt; FDB454 | BREMBO &gt;&gt; P28010 | MINTEX &gt;&gt; MDB1344 | DELPHI &gt;&gt; LP525 | MAGNETI MARELLI &gt;&gt; BP0984 | ROULUNDS RUBBER &gt;&gt; 496881 | DOYEN &gt;&gt; GDB0925 | NK &gt;&gt; 222607 | OPTIMAL &gt;&gt; 9457 | ROADHOUSE &gt;&gt; 222802 | REMSA &gt;&gt; 22802 | REMSA &gt;&gt; 222802 | LUCAS CAV &gt;&gt; GDB925 | ICER &gt;&gt; 180750396 | ICER &gt;&gt; 180750 | QH Benelux &gt;&gt; BP425 | A.B.S. &gt;&gt; 36615 | MOPROD &gt;&gt; MDP1034 | TRW &gt;&gt; GDB925 | AKEBONO &gt;&gt; A211WK | FMSI-VERBAND &gt;&gt; D3347229 | HP (ZEBRA) &gt;&gt; HP2489 | MK Kashiyama &gt;&gt; D05022 | NECTO &gt;&gt; FD6290A | DON &gt;&gt; NDB155 | HELLA PAGID &gt;&gt; T0365 | GIRLING &gt;&gt; 6109259 | sbs &gt;&gt; 1501222607 | WOKING &gt;&gt; 328302 | SIMER &gt;&gt; 6611 | FREN-J &gt;&gt; 496881 | FIRST LINE &gt;&gt; 1418 | LUCAS DIESEL &gt;&gt; GDB925 | LUCAS ENGINE DRIVE &gt;&gt; GDB925 | MAFIX &gt;&gt; PL201 | LUCAS &gt;&gt; GDB925 | LUCAS TVS &gt;&gt; GDB925</t>
  </si>
  <si>
    <t xml:space="preserve"> &gt;&gt; Disc Brake | Length, mm &gt;&gt; 89 | Height, mm &gt;&gt; 35,2 | Thickness/Strength, mm &gt;&gt; 13 | Quality,  &gt;&gt; 944 | Weight, kg &gt;&gt; 0.570 | Axle Vers.,  &gt;&gt; Rear | Techn. Info. No.,  &gt;&gt; 180753 | Brake System,  &gt;&gt; Akebono | Appr. stamp,  &gt;&gt; E9 90R-01110/308 |  &gt;&gt; incl. wear warning contact</t>
  </si>
  <si>
    <t>ACURA &gt;&gt; 06022SP8000 | SPIDAN &gt;&gt; 31812 | VALEO &gt;&gt; 598286 | JURID &gt;&gt; 572137J | BENDIX &gt;&gt; 572137B | LOBRO &gt;&gt; 31812 | BREMBO &gt;&gt; P28017 | BORG &amp; BECK &gt;&gt; BBP1453 | OPTIMAL &gt;&gt; 9672 | ROADHOUSE &gt;&gt; 223364 | REMSA &gt;&gt; 23364 | REMSA &gt;&gt; 223364 | ICER &gt;&gt; 180753 | FMSI-VERBAND &gt;&gt; D3647233 | HP (ZEBRA) &gt;&gt; HP2638 | WOKING &gt;&gt; 333312 | FIRST LINE &gt;&gt; 3070</t>
  </si>
  <si>
    <t xml:space="preserve"> &gt;&gt; Disc Brake | Length, mm &gt;&gt; 89 | Height, mm &gt;&gt; 35,2 | Thickness/Strength, mm &gt;&gt; 13 | Quality,  &gt;&gt; 944 | Weight, kg &gt;&gt; 0.605 | Axle Vers.,  &gt;&gt; Rear | Techn. Info. No.,  &gt;&gt; 180753-701 | Brake System,  &gt;&gt; Akebono | Appr. stamp,  &gt;&gt; E9 90R-01110/308 |  &gt;&gt; incl. wear warning contact</t>
  </si>
  <si>
    <t>HONDA &gt;&gt; 06022SP8000 | ACURA &gt;&gt; 06022SP8000 | LUCAS ELECTRICAL &gt;&gt; GDB7525 | SACHS &gt;&gt; 111_1034 | MAGNETI MARELLI &gt;&gt; BP0913 | ROADHOUSE &gt;&gt; 223312 | ROADHOUSE &gt;&gt; 223387 | REMSA &gt;&gt; 223312 | REMSA &gt;&gt; 23312 | REMSA &gt;&gt; 23387 | REMSA &gt;&gt; 223387 | LUCAS CAV &gt;&gt; GDB7525 | ICER &gt;&gt; 180753701 | A.B.S. &gt;&gt; 36636 | TRW &gt;&gt; GDB7525 | SEBRO &gt;&gt; 2131213 | FMSI-VERBAND &gt;&gt; D3647233 | MK Kashiyama &gt;&gt; D05044 | WOKING &gt;&gt; 333387 | SIMER &gt;&gt; 443 | LUCAS DIESEL &gt;&gt; GDB7525 | LUCAS ENGINE DRIVE &gt;&gt; GDB7525 | LUCAS &gt;&gt; GDB7525 | LUCAS TVS &gt;&gt; GDB7525</t>
  </si>
  <si>
    <t xml:space="preserve"> &gt;&gt; Disc Brake | Length, mm &gt;&gt; 129 | Height, mm &gt;&gt; 53 | Thickness/Strength, mm &gt;&gt; 17,5 | Quality,  &gt;&gt; 300 | Weight, kg &gt;&gt; 1.605 | Axle Vers.,  &gt;&gt; Front | Techn. Info. No.,  &gt;&gt; 180962 | Brake System,  &gt;&gt; Akebono |  &gt;&gt; incl. wear warning contact</t>
  </si>
  <si>
    <t>HONDA &gt;&gt; 45022SG0G11 | HONDA &gt;&gt; 45022SG0010 | HONDA &gt;&gt; 45022SG0325 | HONDA &gt;&gt; 45022SG0517 | HONDA &gt;&gt; 45022SG0G10 | HONDA &gt;&gt; 45022SG0335 | HONDA &gt;&gt; 45022SG0020 | HONDA &gt;&gt; 45022SG0315 | HONDA &gt;&gt; 45022SK7000 | HONDA &gt;&gt; 45022SD4A11 | HONDA &gt;&gt; 45022SE0G10 | HONDA &gt;&gt; 45022SG0000 | HONDA &gt;&gt; 45022SD4A13 | HONDA &gt;&gt; 45022SK7010 | HONDA &gt;&gt; 45022S04A11 | HONDA &gt;&gt; 45022SD4020 | HONDA &gt;&gt; 45022SR3N31 | ACURA &gt;&gt; 45022SG0010 | ACURA &gt;&gt; 45022SG0G10 | SPIDAN &gt;&gt; 31742 | ATE &gt;&gt; 605922 | ATE &gt;&gt; 13046059222 | PAGID &gt;&gt; T0370 | LUCAS ELECTRICAL &gt;&gt; GDB3034 | VALEO &gt;&gt; 551745 | BOSCH &gt;&gt; 0986424260 | TEXTAR &gt;&gt; 2144601 | TEXTAR &gt;&gt; 2144617505T4047 | JURID &gt;&gt; 572309J | BENDIX &gt;&gt; 572309B | FTE &gt;&gt; BL1321A2 | LOBRO &gt;&gt; 31742 | QUINTON HAZELL &gt;&gt; BP548 | FERODO &gt;&gt; FDB748 | BREMBO &gt;&gt; P28013 | MINTEX &gt;&gt; MDB1589 | DELPHI &gt;&gt; LP665 | MAGNETI MARELLI &gt;&gt; BP0738 | ROULUNDS RUBBER &gt;&gt; 472681 | TRISCAN &gt;&gt; 811010974 | DOYEN &gt;&gt; GDB3034 | NK &gt;&gt; 222612 | OPTIMAL &gt;&gt; 9652 | ROADHOUSE &gt;&gt; 232302 | REMSA &gt;&gt; 32302 | REMSA &gt;&gt; 232302 | LUCAS CAV &gt;&gt; GDB3034 | ICER &gt;&gt; 180962396 | ICER &gt;&gt; 180962 | QH Benelux &gt;&gt; BP548 | A.B.S. &gt;&gt; 36708 | MOPROD &gt;&gt; MDP1080 | TRW &gt;&gt; GDB3034 | AKEBONO &gt;&gt; A274WK | FMSI-VERBAND &gt;&gt; D4097445 | FMSI-VERBAND &gt;&gt; D4097235 | HP (ZEBRA) &gt;&gt; HP2726 | MK Kashiyama &gt;&gt; D05050 | NECTO &gt;&gt; FD6535A | MGA &gt;&gt; MGA413 | HELLA PAGID &gt;&gt; T0370 | GIRLING &gt;&gt; 6130349 | sbs &gt;&gt; 1501222612 | WOKING &gt;&gt; 223302 | SIMER &gt;&gt; 4311 | FREN-J &gt;&gt; 472681 | FIRST LINE &gt;&gt; 1366 | LUCAS DIESEL &gt;&gt; GDB3034 | LUCAS ENGINE DRIVE &gt;&gt; GDB3034 | STOP &gt;&gt; 572309S | MAFIX &gt;&gt; PL205 | LUCAS &gt;&gt; GDB3034 | LUCAS TVS &gt;&gt; GDB3034</t>
  </si>
  <si>
    <t>for manufacturer,  &gt;&gt; AKEBONO |  &gt;&gt; with acoustic wear warning | Appr. stamp,  &gt;&gt; E9 90R 01107/161 | Height, mm &gt;&gt; 53 | Length, mm &gt;&gt; 129 | Thickness/Strength, mm &gt;&gt; 17,5</t>
  </si>
  <si>
    <t>HONDA &gt;&gt; 45022SD4000 | HONDA &gt;&gt; 45022SD4J00 | HONDA &gt;&gt; 45022SF9515 | HONDA &gt;&gt; 45022SG0010 | HONDA &gt;&gt; 45022SG0020 | HONDA &gt;&gt; 45022SF9525 | HONDA &gt;&gt; 45022SG0000 | HONDA &gt;&gt; 45022SE0508 | HONDA &gt;&gt; 45022SE0528 | HONDA &gt;&gt; 45022SF9305 | HONDA &gt;&gt; 45022SF9505 | HONDA &gt;&gt; 45022SE0518 | HONDA &gt;&gt; 45022SG0305 | HONDA &gt;&gt; 45022SK7000 | HONDA &gt;&gt; 45022SD4A12HS | HONDA &gt;&gt; 45022SD4E00 | HONDA &gt;&gt; 45022SR3N30 | HONDA &gt;&gt; 45022SD4A13 | HONDA &gt;&gt; 45022SR3N31 | HONDA &gt;&gt; 45022SD4A11 | HONDA &gt;&gt; 45022SK7506 | HONDA &gt;&gt; 45022SD4A11HS | HONDA &gt;&gt; 45022SK7526 | HONDA &gt;&gt; 45022SK7516 | HONDA &gt;&gt; 45022SK7010 | HONDA &gt;&gt; 45022SG0315 | HONDA &gt;&gt; 45022SD4507 | HONDA &gt;&gt; 45022SD4525 | HONDA &gt;&gt; 45022SD4528 | HONDA &gt;&gt; 45022SG0J00 | HONDA &gt;&gt; 45022SG0G11 | HONDA &gt;&gt; 45022SG0527 | HONDA &gt;&gt; 45022SD4515 | HONDA &gt;&gt; 45022SG0G10 | HONDA &gt;&gt; 45022SD4020 | HONDA &gt;&gt; 45022SG0505 | HONDA &gt;&gt; 45022SD4505 | HONDA &gt;&gt; 45022SG0517 | HONDA &gt;&gt; 45022SG0506 | HONDA &gt;&gt; 45022SG0325 | ACURA &gt;&gt; 45022SG0020 | ACURA &gt;&gt; 45022SG0010 | ACURA &gt;&gt; 45022SG0000 | ACURA &gt;&gt; 45022SE0528 | ACURA &gt;&gt; 45022SD4E00 | ACURA &gt;&gt; 45022SD4A13 | ACURA &gt;&gt; 45022SR3N31 | ACURA &gt;&gt; 45022SK7526 | ACURA &gt;&gt; 45022SD4A11 | ACURA &gt;&gt; 45022SK7010 | ACURA &gt;&gt; 45022SD4528 | ACURA &gt;&gt; 45022SK7000 | ACURA &gt;&gt; 45022SG0G11 | ACURA &gt;&gt; 45022SG0G10 | ACURA &gt;&gt; 45022SG0527 | ACURA &gt;&gt; 45022SG0517 | ACURA &gt;&gt; 45022SG0325 | ACURA &gt;&gt; 45022SD4020 | ACURA &gt;&gt; 45022SG0315 | SPIDAN &gt;&gt; 31742 | SPIDAN &gt;&gt; 31446 | HELLA &gt;&gt; 8DB355006301 | HELLA &gt;&gt; 8DB355016631 | ATE &gt;&gt; 13046059222 | PAGID &gt;&gt; T0370 | VALEO &gt;&gt; 598190 | VALEO &gt;&gt; 551610 | BOSCH &gt;&gt; 0986TB2124 | BOSCH &gt;&gt; 986424260 | BOSCH &gt;&gt; 0986461125 | BOSCH &gt;&gt; 0986424260 | LEMFORDER &gt;&gt; 26254 | TEXTAR &gt;&gt; 2144617505 | TEXTAR &gt;&gt; 2144601 | JURID &gt;&gt; 572309J | BENDIX &gt;&gt; 572309B | FTE &gt;&gt; BL1321A2 | HERTH+BUSS JAKOPARTS &gt;&gt; J3604026 | QUINTON HAZELL &gt;&gt; BP380 | QUINTON HAZELL &gt;&gt; BP548 | QUINTON HAZELL &gt;&gt; BLF636 | QUINTON HAZELL &gt;&gt; BLF548 | FERODO &gt;&gt; FDB748 | FERODO &gt;&gt; TAR748 | BREMBO &gt;&gt; P28014 | BREMBO &gt;&gt; P28013 | MINTEX &gt;&gt; MDB1589 | PEX &gt;&gt; 7196 | ZIMMERMANN &gt;&gt; 214461751 | DELPHI &gt;&gt; LP665 | DELPHI &gt;&gt; LP0559 | MAGNETI MARELLI &gt;&gt; 363702160888 | MAGNETI MARELLI &gt;&gt; 363702160738 | ROULUNDS RUBBER &gt;&gt; 472681 | TRISCAN &gt;&gt; 811010974 | NK &gt;&gt; 222618 | NK &gt;&gt; 222612 | OPTIMAL &gt;&gt; 9652 | MAPCO &gt;&gt; 6328 | KBP &gt;&gt; BP2021 | REMSA &gt;&gt; 40602 | REMSA &gt;&gt; 32302 | REMSA &gt;&gt; 25001 | REMSA &gt;&gt; 23702 | REMSA &gt;&gt; 032302 | JAPANPARTS &gt;&gt; PA426AF | ICER &gt;&gt; 180962 | ICER &gt;&gt; 180704 | RAMEDER &gt;&gt; T0610568 | QH Benelux &gt;&gt; 2726 | A.B.S. &gt;&gt; 36639 | LPR &gt;&gt; 05P339 | LPR &gt;&gt; 05P080 | LPR &gt;&gt; 05P555 | ACDelco &gt;&gt; AC472681D | MK Kashiyama &gt;&gt; D5050M | ASHIKA &gt;&gt; 5004426 | NECTO &gt;&gt; FD6535A | NIPPARTS &gt;&gt; J360426 | NIPPARTS &gt;&gt; J3604026 | MGA &gt;&gt; 413 | Brake ENGINEERING &gt;&gt; PA737 | APEC braking &gt;&gt; PAD704 | GIRLING &gt;&gt; 6130349 | KAWE &gt;&gt; 80945 | sbs &gt;&gt; 222618 | sbs &gt;&gt; 222612 | E.T.F. &gt;&gt; 120480 | E.T.F. &gt;&gt; 120371 | WOKING &gt;&gt; P337302 | WOKING &gt;&gt; P223302 | BLUE PRINT &gt;&gt; ADH24227AF | FIRST LINE &gt;&gt; FBP1366</t>
  </si>
  <si>
    <t>for manufacturer,  &gt;&gt; AKEBONO | Length, mm &gt;&gt; 88,8 | Height, mm &gt;&gt; 35,3 | Thickness/Strength, mm &gt;&gt; 13 |  &gt;&gt; with acoustic wear warning |  &gt;&gt; with brake caliper screws | Appr. stamp,  &gt;&gt; E1 90R 01025/400</t>
  </si>
  <si>
    <t>HONDA &gt;&gt; 43022S04000 | HONDA &gt;&gt; 43022SR3505 | HONDA &gt;&gt; 5860051480 | HONDA &gt;&gt; 5860095750 | HONDA &gt;&gt; 5860051490 | HONDA &gt;&gt; 5860091630 | HONDA &gt;&gt; 43022ST3E00 | HONDA &gt;&gt; 43022ST3E01 | HONDA &gt;&gt; 43022ST7000 | HONDA &gt;&gt; 43022ST7A00 | HONDA &gt;&gt; 43022ST3E50HE | HONDA &gt;&gt; 43022S04010 | HONDA &gt;&gt; 06430SAAJ50 | HONDA &gt;&gt; 43022SK3E00 | HONDA &gt;&gt; 43022SR3000 | HONDA &gt;&gt; 43022SR3020 | HONDA &gt;&gt; 43022SR3030 | HONDA &gt;&gt; 43022SR3010 | HONDA &gt;&gt; 43022SK7000 | HONDA &gt;&gt; 43022SR2000 | HONDA &gt;&gt; 43022SR2010 | HONDA &gt;&gt; 43022SF1315 | HONDA &gt;&gt; 43022SF1800 | HONDA &gt;&gt; 43022SH3G00 | HONDA &gt;&gt; 43022SH3J00 | HONDA &gt;&gt; 43022SF1S01 | HONDA &gt;&gt; 43022SF1505 | HONDA &gt;&gt; 43022SF1515 | HONDA &gt;&gt; 43022SF1525 | HONDA &gt;&gt; 43022S04020 | HONDA &gt;&gt; 06022SP8000 | HONDA &gt;&gt; 43022SF0670 | HONDA &gt;&gt; 43022SF1010 | HONDA &gt;&gt; 43022SF1305 | HONDA &gt;&gt; 43022SF1000 | HONDA &gt;&gt; 43022SD2930 | HONDA &gt;&gt; 43022SD2A01 | HONDA &gt;&gt; 43022SF0505 | HONDA &gt;&gt; 43022SD2A00 | HONDA &gt;&gt; 43022S04030 | HONDA &gt;&gt; 43022S04E00 | HONDA &gt;&gt; 43022SAAJ50 | HONDA &gt;&gt; 43022SD2505 | HONDA &gt;&gt; 43022S04E01 | MG &gt;&gt; GBP90347 | MG &gt;&gt; EJP1437 | ROVER &gt;&gt; GBP90347AF | ROVER &gt;&gt; GBP90347 | ROVER &gt;&gt; GBP90316AF | ROVER &gt;&gt; GBP90316 | ROVER &gt;&gt; EJP1437 | LOTUS &gt;&gt; GBP90316 | SPIDAN &gt;&gt; 32870 | SPIDAN &gt;&gt; 31105 | HELLA &gt;&gt; 8DB355017151 | HELLA &gt;&gt; 8DB355005731 | ATE &gt;&gt; 13046059982 | ATE &gt;&gt; 13046057312 | PAGID &gt;&gt; T3107 | PAGID &gt;&gt; T0034 | VALEO &gt;&gt; 597056 | VALEO &gt;&gt; 598053 | VALEO &gt;&gt; 598437 | VALEO &gt;&gt; 551695 | RUVILLE &gt;&gt; D56474430 | BOSCH &gt;&gt; 0986505729 | BOSCH &gt;&gt; 0986495256 | BOSCH &gt;&gt; 0986494392 | BOSCH &gt;&gt; 0986494128 | BOSCH &gt;&gt; 0986461131 | BOSCH &gt;&gt; 0986TB2181 | BOSCH &gt;&gt; F03B150024 | BOSCH &gt;&gt; 0986TB2120 | BOSCH &gt;&gt; F026000120 | BOSCH &gt;&gt; 0986AB3779 | BOSCH &gt;&gt; 0986AB2667 | BOSCH &gt;&gt; 986461131 | BOSCH &gt;&gt; 0986AB2169 | BOSCH &gt;&gt; 0986AB2033 | LEMFORDER &gt;&gt; 26260 | LEMFORDER &gt;&gt; 26178 | TEXTAR &gt;&gt; 2173804 | TEXTAR &gt;&gt; 2173801 | TEXTAR &gt;&gt; 2131213005 | TEXTAR &gt;&gt; 2131201 | JURID &gt;&gt; 572473J | JURID &gt;&gt; 572137J | JURID &gt;&gt; 572136J | JURID &gt;&gt; 571977D | JURID &gt;&gt; 572135J | JURID &gt;&gt; 571977J | BENDIX &gt;&gt; 572137B | BENDIX &gt;&gt; 572136B | BENDIX &gt;&gt; 571977X | BENDIX &gt;&gt; 571977B | FTE &gt;&gt; BL1544A2 | FTE &gt;&gt; BL1288A2 | HERTH+BUSS JAKOPARTS &gt;&gt; J3614004 | QUINTON HAZELL &gt;&gt; BP836 | QUINTON HAZELL &gt;&gt; BP448 | QUINTON HAZELL &gt;&gt; BP330 | QUINTON HAZELL &gt;&gt; BLF836 | QUINTON HAZELL &gt;&gt; BLF448 | FERODO &gt;&gt; TAR621 | FERODO &gt;&gt; FSL621 | FERODO &gt;&gt; FDB621 | BREMBO &gt;&gt; P28017 | MINTEX &gt;&gt; MDK0073 | MINTEX &gt;&gt; MDB1616 | MINTEX &gt;&gt; MDK0054 | MINTEX &gt;&gt; MDB1360 | MINTEX &gt;&gt; MDB1411 | PEX &gt;&gt; 7134 | PEX &gt;&gt; 7374 | ZIMMERMANN &gt;&gt; 217381301 | ZIMMERMANN &gt;&gt; 217191501 | ZIMMERMANN &gt;&gt; 213121302 | DELPHI &gt;&gt; LP404 | DELPHI &gt;&gt; LP625 | DELPHI &gt;&gt; LP0625 | METZGER &gt;&gt; 023352 | METZGER &gt;&gt; 023302 | MAGNETI MARELLI &gt;&gt; 363702160965 | MAGNETI MARELLI &gt;&gt; 363702160861 | ROULUNDS RUBBER &gt;&gt; 620381 | ROULUNDS RUBBER &gt;&gt; 456381 | FEBI BILSTEIN &gt;&gt; 16309 | TRISCAN &gt;&gt; 811040003 | TRISCAN &gt;&gt; 811040978 | TRISCAN &gt;&gt; 811040925 | TRISCAN &gt;&gt; 811010014 | METELLI &gt;&gt; 2201730 | METELLI &gt;&gt; 2201701 | METELLI &gt;&gt; 2201690 | NK &gt;&gt; 229972 | NK &gt;&gt; 222646 | OPTIMAL &gt;&gt; 9572 | OPTIMAL &gt;&gt; 9375 | MAPCO &gt;&gt; 6530 | MEYLE &gt;&gt; 0252173813W | MEYLE &gt;&gt; 0252131313W | KBP &gt;&gt; BP2029 | REMSA &gt;&gt; 32532 | REMSA &gt;&gt; 23302 | REMSA &gt;&gt; 23300 | REMSA &gt;&gt; 023302 | JAPANPARTS &gt;&gt; PP402AF | JAPANPARTS &gt;&gt; PP404AF | ICER &gt;&gt; 180600 | ICER &gt;&gt; 181024 | ICER &gt;&gt; 180752701 | ICER &gt;&gt; 180752 | RAMEDER &gt;&gt; T0610582 | QH Benelux &gt;&gt; 2802 | QH Benelux &gt;&gt; 2727 | QH Benelux &gt;&gt; 2638 | QH Benelux &gt;&gt; 2403 | A.B.S. &gt;&gt; 36636OE | A.B.S. &gt;&gt; 36636 | LPR &gt;&gt; 05P506 | LPR &gt;&gt; 05P1425 | LPR &gt;&gt; 05P507 | TRUSTING &gt;&gt; 1760 | TRUSTING &gt;&gt; 1731 | SWAG &gt;&gt; 85916309 | ACDelco &gt;&gt; AC620381D | ACDelco &gt;&gt; AC456381D | SCT Germany &gt;&gt; SP195 | MK Kashiyama &gt;&gt; D5042M | ASHIKA &gt;&gt; 5104404 | ASHIKA &gt;&gt; 5104402 | NECTO &gt;&gt; FD6458N | NECTO &gt;&gt; FD6458A | NIPPARTS &gt;&gt; J3614004 | MGA &gt;&gt; 305 | MGA &gt;&gt; 492 | Brake ENGINEERING &gt;&gt; PA545 | APEC braking &gt;&gt; PAD611 | GIRLING &gt;&gt; 6104999 | KAWE &gt;&gt; 80756 | KAWE &gt;&gt; 80695 | fri.tech. &gt;&gt; 1760 | fri.tech. &gt;&gt; 1731 | sbs &gt;&gt; 229972 | E.T.F. &gt;&gt; 120530 | E.T.F. &gt;&gt; 120396 | WOKING &gt;&gt; P333302 | WOKING &gt;&gt; P333300 | BLUE PRINT &gt;&gt; ADH24254 | HERZOG GERMANY &gt;&gt; 886636 | FIRST LINE &gt;&gt; FBP3283 | FIRST LINE &gt;&gt; FBP3146 | DITAS &gt;&gt; DFB5273 | DITAS &gt;&gt; DFB5215</t>
  </si>
  <si>
    <t>for manufacturer,  &gt;&gt; AKEBONO |  &gt;&gt; with acoustic wear warning | Height, mm &gt;&gt; 48,5 | Length, mm &gt;&gt; 128 | Thickness/Strength, mm &gt;&gt; 15</t>
  </si>
  <si>
    <t>HONDA &gt;&gt; 45022SB2G00 | HONDA &gt;&gt; 45022SE0911 | HONDA &gt;&gt; 45022SE0912 | HONDA &gt;&gt; 45022SE0A10 | HONDA &gt;&gt; 45022SH3G30 | HONDA &gt;&gt; 45022SH3G31 | HONDA &gt;&gt; 45022SE0G00 | HONDA &gt;&gt; 45022SE0A00 | HONDA &gt;&gt; 45022SE0A01 | HONDA &gt;&gt; 45022SD2505 | HONDA &gt;&gt; 45022SD2A02 | HONDA &gt;&gt; 45022SD2A13 | HONDA &gt;&gt; 45022SE0307 | HONDA &gt;&gt; 45022SE0910 | HONDA &gt;&gt; 45022SE0306 | HONDA &gt;&gt; 45022SD2A10 | HONDA &gt;&gt; 45022SD2A11 | HONDA &gt;&gt; 45022SD2A12 | HONDA &gt;&gt; 45022SD2506 | HONDA &gt;&gt; 45022SD2A00 | HONDA &gt;&gt; 45022SD2A01 | ACURA &gt;&gt; 45022SH3G31 | SPIDAN &gt;&gt; 31277 | SPIDAN &gt;&gt; 31100 | HELLA &gt;&gt; 8DB355005661 | HELLA &gt;&gt; 8DB355006261 | ATE &gt;&gt; 13046059202 | ATE &gt;&gt; 13046059182 | PAGID &gt;&gt; T0365 | PAGID &gt;&gt; T0012 | VALEO &gt;&gt; 168420 | VALEO &gt;&gt; 598248 | VALEO &gt;&gt; 597022 | VALEO &gt;&gt; 597028 | VALEO &gt;&gt; 597070 | VALEO &gt;&gt; 598047 | BOSCH &gt;&gt; 0986AB2652 | BOSCH &gt;&gt; 0986460972 | BOSCH &gt;&gt; 986460936 | BOSCH &gt;&gt; 0986460936 | BOSCH &gt;&gt; 0986TB2117 | LEMFORDER &gt;&gt; 26256 | LEMFORDER &gt;&gt; 26179 | TEXTAR &gt;&gt; 2132201 | TEXTAR &gt;&gt; 2009915005 | TEXTAR &gt;&gt; 2009914005 | TEXTAR &gt;&gt; 2009902 | JURID &gt;&gt; 572288J | JURID &gt;&gt; 572287J | JURID &gt;&gt; 572330J | JURID &gt;&gt; 572329J | BENDIX &gt;&gt; 572288B | BENDIX &gt;&gt; 572287B | BENDIX &gt;&gt; 572330B | BENDIX &gt;&gt; 572329B | FTE &gt;&gt; BL1291A2 | HERTH+BUSS JAKOPARTS &gt;&gt; J3604023 | HERTH+BUSS JAKOPARTS &gt;&gt; J3604018 | QUINTON HAZELL &gt;&gt; BP425 | QUINTON HAZELL &gt;&gt; BP550 | QUINTON HAZELL &gt;&gt; BLF425 | FERODO &gt;&gt; TAR454 | FERODO &gt;&gt; FDB454 | BREMBO &gt;&gt; P28010 | MINTEX &gt;&gt; MDB1586 | MINTEX &gt;&gt; MDB1374 | MINTEX &gt;&gt; MDB1344 | PEX &gt;&gt; 7325 | PEX &gt;&gt; 7264 | PEX &gt;&gt; 7096S | PEX &gt;&gt; 7096 | DELPHI &gt;&gt; LP605 | DELPHI &gt;&gt; LP525 | METZGER &gt;&gt; 022902 | MAGNETI MARELLI &gt;&gt; 363702160903 | MAGNETI MARELLI &gt;&gt; 363702160984 | MAGNETI MARELLI &gt;&gt; 363702160918 | ROULUNDS RUBBER &gt;&gt; 496881 | TRISCAN &gt;&gt; 811040853 | METELLI &gt;&gt; 2202371 | NK &gt;&gt; 222607 | OPTIMAL &gt;&gt; 9571 | OPTIMAL &gt;&gt; 9457 | MAPCO &gt;&gt; 6434 | MEYLE &gt;&gt; 0252132215W | KBP &gt;&gt; BP2011 | KBP &gt;&gt; BP2008 | REMSA &gt;&gt; 22902 | REMSA &gt;&gt; 22802 | REMSA &gt;&gt; 22800 | REMSA &gt;&gt; 022802 | JAPANPARTS &gt;&gt; PA424AF | JAPANPARTS &gt;&gt; PA423AF | ICER &gt;&gt; 180755 | ICER &gt;&gt; 180750 | RAMEDER &gt;&gt; T0610432 | RAMEDER &gt;&gt; T0610494 | RAMEDER &gt;&gt; T0600071 | QH Benelux &gt;&gt; 2489 | A.B.S. &gt;&gt; 36615 | LPR &gt;&gt; 05P073 | ACDelco &gt;&gt; AC496881D | SCT Germany &gt;&gt; SP238 | MK Kashiyama &gt;&gt; D5022M | ASHIKA &gt;&gt; 5004424 | ASHIKA &gt;&gt; 5004423 | NECTO &gt;&gt; FD6526N | NECTO &gt;&gt; FD6526A | NECTO &gt;&gt; FD6290A | NIPPARTS &gt;&gt; J3604023 | NIPPARTS &gt;&gt; J3604018 | Brake ENGINEERING &gt;&gt; PA463 | APEC braking &gt;&gt; PAD502 | GIRLING &gt;&gt; 6109259 | KAWE &gt;&gt; 80755 | sbs &gt;&gt; 222607 | E.T.F. &gt;&gt; 120479 | E.T.F. &gt;&gt; 120349 | WOKING &gt;&gt; P328302 | BLUE PRINT &gt;&gt; ADH24216</t>
  </si>
  <si>
    <t>AISIN</t>
  </si>
  <si>
    <t>for manufacturer,  &gt;&gt; AKEBONO |  &gt;&gt; incl. wear warning contact | Length, mm &gt;&gt; 129 | Thickness/Strength, mm &gt;&gt; 17,5 | Height, mm &gt;&gt; 52,9</t>
  </si>
  <si>
    <t>HONDA &gt;&gt; 45022SD4000 | HONDA &gt;&gt; 45022SD4020 | HONDA &gt;&gt; 45022SD4E00 | HONDA &gt;&gt; 45022SG0G10 | HONDA &gt;&gt; 45022SD4A13 | HONDA &gt;&gt; 45022SG0G11 | SUZUKI &gt;&gt; 45022SD4A13 | SUZUKI &gt;&gt; 45022SG0G11 | SUZUKI &gt;&gt; 45022SG0G10 | SUZUKI &gt;&gt; 45022SD4000 | SUZUKI &gt;&gt; 45022SD4020 | SUZUKI &gt;&gt; 45022SD4E00 | BREMBO &gt;&gt; P28013 | KAVO PARTS &gt;&gt; BP2021 | KAVO PARTS &gt;&gt; KBP2027 | TRW &gt;&gt; GDB3034 | BLUE PRINT &gt;&gt; ADH24227 | NPS &gt;&gt; H360A44</t>
  </si>
  <si>
    <t>Length, mm &gt;&gt; 129 | Thickness/Strength, mm &gt;&gt; 17 | Height, mm &gt;&gt; 53</t>
  </si>
  <si>
    <t>HONDA &gt;&gt; 45022S30G12 | HONDA &gt;&gt; 45022S30G10 | HONDA &gt;&gt; 45022S30G11 | HONDA &gt;&gt; 45022SD4518 | HONDA &gt;&gt; 45022SG0010 | HONDA &gt;&gt; 45022SG0000 | HONDA &gt;&gt; 45022SS0528 | HONDA &gt;&gt; 45022SS0518 | HONDA &gt;&gt; 45022SD4508 | HONDA &gt;&gt; 45022SF9525 | HONDA &gt;&gt; 45022SS0508 | HONDA &gt;&gt; 45022SR3N31 | HONDA &gt;&gt; 45022SF9515 | HONDA &gt;&gt; 45022SR3N30 | HONDA &gt;&gt; 45022SR3910 | HONDA &gt;&gt; 45022SD4305 | HONDA &gt;&gt; 45022SD4408 | HONDA &gt;&gt; 45022SF9505 | HONDA &gt;&gt; 45022SR3507 | HONDA &gt;&gt; 45022SR3409 | HONDA &gt;&gt; 45022SF9305 | HONDA &gt;&gt; 45022SR3306 | HONDA &gt;&gt; 45022SN7G40 | HONDA &gt;&gt; 45022SE0528 | HONDA &gt;&gt; 45022SE0G10 | HONDA &gt;&gt; 45022SK7526 | HONDA &gt;&gt; 45022SK7516 | HONDA &gt;&gt; 45022SK7505 | HONDA &gt;&gt; 45022SK7506 | HONDA &gt;&gt; 45022SD4528 | HONDA &gt;&gt; 45022SD4010 | HONDA &gt;&gt; 45022SD4020 | HONDA &gt;&gt; 45022SE0508 | HONDA &gt;&gt; 45022SK7305 | HONDA &gt;&gt; 45022SK7010 | HONDA &gt;&gt; 45022SD4J00 | HONDA &gt;&gt; 45022SK7000 | HONDA &gt;&gt; 45022SH3N30 | HONDA &gt;&gt; 45022SD4A13 | HONDA &gt;&gt; 45022SD4E00 | HONDA &gt;&gt; 45022SH3903 | HONDA &gt;&gt; 45022SH3306 | HONDA &gt;&gt; 45022SG0G11 | HONDA &gt;&gt; 45022SG0J00 | HONDA &gt;&gt; 45022SG0020 | HONDA &gt;&gt; 45022SD4000 | HONDA &gt;&gt; 45022SD4A12 | HONDA &gt;&gt; 45022SG0G10 | HONDA &gt;&gt; H4502SR3003 | HONDA &gt;&gt; 45022SG0527 | HONDA &gt;&gt; H4502SF9003 | HONDA &gt;&gt; 45022SD4A11 | HONDA &gt;&gt; 45022SG0517 | HONDA &gt;&gt; 45022SG0335 | HONDA &gt;&gt; 45022SG0305 | HONDA &gt;&gt; 45022SD4A10 | HONDA &gt;&gt; 45022SG0325 | HONDA &gt;&gt; AY040HN005 | HONDA &gt;&gt; 45022SG0315 | VALEO &gt;&gt; 598056 | VALEO &gt;&gt; 598047 | VALEO &gt;&gt; 301047 | BREMBO &gt;&gt; P28021 | BREMBO &gt;&gt; P28013 | BREMBO &gt;&gt; P28008 | FEBI BILSTEIN &gt;&gt; 16299 | FEBI BILSTEIN &gt;&gt; 16551 | METELLI &gt;&gt; 2201710 | METELLI &gt;&gt; 2202471 | KAVO PARTS &gt;&gt; KBP2027 | KAVO PARTS &gt;&gt; BP2021 | TRW &gt;&gt; GDB733 | TRW &gt;&gt; GDB325 | TRW &gt;&gt; GDB3034 | TRW &gt;&gt; GDB1180 | TRW &gt;&gt; GDB1061 | SWAG &gt;&gt; 85916551 | SWAG &gt;&gt; 85916299 | BLUE PRINT &gt;&gt; ADH24248 | BLUE PRINT &gt;&gt; ADH24227 | BLUE PRINT &gt;&gt; ADH24213 | BLUE PRINT &gt;&gt; ADH24207</t>
  </si>
  <si>
    <t>KAMOKA</t>
  </si>
  <si>
    <t>Fitting Position,  &gt;&gt; Rear Axle | Width, mm &gt;&gt; 89 | Height, mm &gt;&gt; 35,2 | Thickness/Strength, mm &gt;&gt; 12,8 |  &gt;&gt; with acoustic wear warning | Brake System,  &gt;&gt; Akebono | Appr. stamp,  &gt;&gt; E9 90R-01231/1333</t>
  </si>
  <si>
    <t>HONDA &gt;&gt; 43022SE0N50 | HONDA &gt;&gt; 43022SR3G01 | HONDA &gt;&gt; 43022SE0930 | HONDA &gt;&gt; 43022SE0931 | HONDA &gt;&gt; 43022SE0500 | HONDA &gt;&gt; 43022SE0S00 | HONDA &gt;&gt; 43022SH3932 | HONDA &gt;&gt; 43022SH3N30 | HONDA &gt;&gt; 43022SR3G00 | HONDA &gt;&gt; 43022SH3G01 | HONDA &gt;&gt; 43022SE7930 | HONDA &gt;&gt; 43022SH3931 | ATE &gt;&gt; 13046059982 | PAGID &gt;&gt; T0034 | VALEO &gt;&gt; 598053 | VALEO &gt;&gt; 598286 | VALEO &gt;&gt; 551728 | TEXTAR &gt;&gt; 2131201 | JURID &gt;&gt; 572135J | BENDIX &gt;&gt; 572135B | QUINTON HAZELL &gt;&gt; BP470 | FERODO &gt;&gt; FDB472 | MINTEX &gt;&gt; MDB1360 | MINTEX &gt;&gt; MDB2191 | DELPHI &gt;&gt; LP562 | DELPHI &gt;&gt; LP772 | ROULUNDS RUBBER &gt;&gt; 422881 | ROADHOUSE &gt;&gt; 2233 | ROADHOUSE &gt;&gt; 22332 | ICER &gt;&gt; 180960 | ICER &gt;&gt; 180751 | KAMOKA &gt;&gt; 101944 | A.B.S. &gt;&gt; 36619 | UNIPART &gt;&gt; GBP759 | UNIPART &gt;&gt; GBP759AF | TRW &gt;&gt; GDB775 | TRW &gt;&gt; GDB3113 | FMSI-VERBAND &gt;&gt; 7233D374 | NECTO &gt;&gt; FD6344A | NIPPARTS &gt;&gt; 3614004 | NIPPARTS &gt;&gt; 3614002 | Brake ENGINEERING &gt;&gt; PA491 | APEC braking &gt;&gt; PAD587 | E.T.F. &gt;&gt; 120548 | BLUE PRINT &gt;&gt; ADH24209 | BLUE PRINT &gt;&gt; ADH24219</t>
  </si>
  <si>
    <t>Fitting Position,  &gt;&gt; Rear Axle | Width, mm &gt;&gt; 88,7 | Height, mm &gt;&gt; 34,8 | Thickness/Strength, mm &gt;&gt; 12,5 | Brake System,  &gt;&gt; AKEBONO</t>
  </si>
  <si>
    <t>HONDA &gt;&gt; 43022S04000 | HONDA &gt;&gt; 43022S04020 | HONDA &gt;&gt; 43022S04030 | HONDA &gt;&gt; 5860091630 | HONDA &gt;&gt; 5860051490 | HONDA &gt;&gt; 5860051480 | HONDA &gt;&gt; 43022ST7A00 | HONDA &gt;&gt; 43022S04010 | HONDA &gt;&gt; 06430SAAJ50 | HONDA &gt;&gt; 43022SR3030 | HONDA &gt;&gt; 43022ST3E01 | HONDA &gt;&gt; 43022ST7000 | HONDA &gt;&gt; 43022ST3E00 | HONDA &gt;&gt; 43022SR2010 | HONDA &gt;&gt; 43022SR3010 | HONDA &gt;&gt; 43022SR3020 | HONDA &gt;&gt; 43022SR3000 | HONDA &gt;&gt; 06022SP8000 | HONDA &gt;&gt; 43022SK7000 | HONDA &gt;&gt; 43022SR2000 | HONDA &gt;&gt; 43022SF1S00 | HONDA &gt;&gt; 43022SF1S01 | HONDA &gt;&gt; 43022SF1505 | HONDA &gt;&gt; 43022SF1525 | HONDA &gt;&gt; 43022SF1800 | HONDA &gt;&gt; 43022SF1515 | HONDA &gt;&gt; 43022SF1000 | HONDA &gt;&gt; 43022SF1305 | HONDA &gt;&gt; 43022SF1315 | HONDA &gt;&gt; 43022SF1010 | HONDA &gt;&gt; 43022S04E00 | HONDA &gt;&gt; 43022S04E03 | HONDA &gt;&gt; 43022SAAJ50 | HONDA &gt;&gt; 5860095750 | HONDA &gt;&gt; 43022S04E01 | MG &gt;&gt; GBP90347 | NISSAN &gt;&gt; AY060HN002 | ROVER &gt;&gt; GBP90347 | ROVER &gt;&gt; GBP90347AF | ROVER &gt;&gt; GBP90316AF | ROVER &gt;&gt; GBP90316 | ROVER &gt;&gt; EJP1437 | LOTUS &gt;&gt; GBP90316 | ATE &gt;&gt; 13046059982 | PAGID &gt;&gt; T0034 | VALEO &gt;&gt; 598053 | BOSCH &gt;&gt; 0986461131 | TEXTAR &gt;&gt; 2131201 | JURID &gt;&gt; 572136J | BENDIX &gt;&gt; 572136B | FTE &gt;&gt; BL1288A2 | QUINTON HAZELL &gt;&gt; BP448 | FERODO &gt;&gt; TAR621 | FERODO &gt;&gt; FDB621 | BREMBO &gt;&gt; P28017 | MINTEX &gt;&gt; MDB1411 | ZIMMERMANN &gt;&gt; 213121302 | DELPHI &gt;&gt; LP625 | METZGER &gt;&gt; 023302 | MAGNETI MARELLI &gt;&gt; 363700200034 | ROULUNDS RUBBER &gt;&gt; 456381 | METELLI &gt;&gt; 2201701 | NK &gt;&gt; 222608 | OPTIMAL &gt;&gt; 9572 | MAPCO &gt;&gt; 6530 | MEYLE &gt;&gt; 0252131313W | ROADHOUSE &gt;&gt; 223302 | REMSA &gt;&gt; 023300 | ICER &gt;&gt; 180752701 | VAICO &gt;&gt; V260022 | KAMOKA &gt;&gt; JQ1011048 | A.B.S. &gt;&gt; 36636 | LPR &gt;&gt; 05P506 | TRUSTING &gt;&gt; 1731 | TRW &gt;&gt; GDB499 | SCT Germany &gt;&gt; SP195 | KAGER &gt;&gt; 350301 | GIRLING &gt;&gt; 6104999 | KAWE &gt;&gt; 023302 | fri.tech. &gt;&gt; 1731 | sbs &gt;&gt; 1501222608 | E.T.F. &gt;&gt; 120396 | CIFAM &gt;&gt; 8221701 | WOKING &gt;&gt; P333302 | VILLAR &gt;&gt; 6260506 | SIMER &gt;&gt; 442</t>
  </si>
  <si>
    <t>Brake System,  &gt;&gt; AKEBONO | Thickness/Strength, mm &gt;&gt; 15 | Width, mm &gt;&gt; 128 | Height, mm &gt;&gt; 48,5 | Number of Wear Indicators, Per axle &gt;&gt; 2 | for Art.No.,  &gt;&gt; 05P073</t>
  </si>
  <si>
    <t>from construction year &gt;&gt; 10/1985 | to construction year &gt;&gt; 09/1989 | Fitting Position &gt;&gt; Front Axle</t>
  </si>
  <si>
    <t>HONDA &gt;&gt; 45022SD2A01 | HONDA &gt;&gt; 45022SE0911 | HONDA &gt;&gt; 45022SD2505 | HONDA &gt;&gt; 45022SD2506 | HONDA &gt;&gt; 45022SH3G31 | HONDA &gt;&gt; 45022SE0A12 | HONDA &gt;&gt; 45022SE0A10 | HONDA &gt;&gt; 45022SE0A11 | HONDA &gt;&gt; 45022SE0912 | HONDA &gt;&gt; 43022SE0932 | HONDA &gt;&gt; 45022SE0A01 | HONDA &gt;&gt; 45022SE0A00 | HONDA &gt;&gt; 45022SD2A02 | HONDA &gt;&gt; 45022SD2A12 | HONDA &gt;&gt; 45022SE0505 | HONDA &gt;&gt; 45022SE0910 | HONDA &gt;&gt; 45022SD2A13 | HONDA &gt;&gt; 45022SD2A10 | HONDA &gt;&gt; 45022SD2A11 | ATE &gt;&gt; 13046059182 | PAGID &gt;&gt; T0365 | VALEO &gt;&gt; 598248 | TEXTAR &gt;&gt; 2009902 | JURID &gt;&gt; 2841304 | JURID &gt;&gt; 572288J | BENDIX &gt;&gt; 572288B | QUINTON HAZELL &gt;&gt; BP425 | FERODO &gt;&gt; FDB454 | MINTEX &gt;&gt; MDB1344 | DELPHI &gt;&gt; LP525 | ROULUNDS RUBBER &gt;&gt; 496881 | ROADHOUSE &gt;&gt; 222802 | REMSA &gt;&gt; 022802 | JAPANPARTS &gt;&gt; PA424AF | ICER &gt;&gt; 180750 | TRUSTING &gt;&gt; 2461 | MOPROD &gt;&gt; MDP1034 | UNIPART &gt;&gt; GBP708 | TRW &gt;&gt; GDB925 | HP (ZEBRA) &gt;&gt; 2489 | PBR &gt;&gt; DB429 | MK Kashiyama &gt;&gt; D5022M | ASHIKA &gt;&gt; 5004424 | RHIAG &gt;&gt; 10237157 | Brake ENGINEERING &gt;&gt; PA463 | APEC braking &gt;&gt; PAD502 | EFI &gt;&gt; EDB454 | E.T.F. &gt;&gt; 120349 | WOKING &gt;&gt; 3511 | SAMKO &gt;&gt; 5SP073 | SIMER &gt;&gt; 6611 | FREN-J &gt;&gt; 3288 | MOTAQUIP &gt;&gt; VBP490 | CHASE &gt;&gt; P235</t>
  </si>
  <si>
    <t>Width, mm &gt;&gt; 88,8 | for Art.No.,  &gt;&gt; 05P506 | Brake System,  &gt;&gt; AKEBONO | Thickness/Strength, mm &gt;&gt; 13 | Height, mm &gt;&gt; 35,3 | Number of Wear Indicators, Per axle &gt;&gt; 2</t>
  </si>
  <si>
    <t>from construction year &gt;&gt; 10/1985 | Fitting Position &gt;&gt; Rear Axle</t>
  </si>
  <si>
    <t>HONDA &gt;&gt; 43022SF1000 | HONDA &gt;&gt; 06022SP8000 | HONDA &gt;&gt; 43022SR3000 | HONDA &gt;&gt; 43022ST3E00 | HONDA &gt;&gt; 43022ST3E50 | HONDA &gt;&gt; 43022SR3010 | HONDA &gt;&gt; 43022SF1010 | HONDA &gt;&gt; 43022SF1315 | HONDA &gt;&gt; 43022SF1S01 | HONDA &gt;&gt; 43022SR2000 | HONDA &gt;&gt; 43022SF1S00 | ROVER &gt;&gt; GBP90347 | ROVER &gt;&gt; GBP90316AF | ROVER &gt;&gt; GBP90316 | ROVER &gt;&gt; EJP1437 | LOTUS &gt;&gt; GBP90316 | ATE &gt;&gt; 13046059982 | VALEO &gt;&gt; 598053 | BOSCH &gt;&gt; 0986461131 | JURID &gt;&gt; 572136J | JURID &gt;&gt; 2842103 | BENDIX &gt;&gt; 572136B | FTE &gt;&gt; BL1288A2 | QUINTON HAZELL &gt;&gt; BP448 | FERODO &gt;&gt; FDB621 | MINTEX &gt;&gt; MDB1411 | DELPHI &gt;&gt; LP625 | ROULUNDS RUBBER &gt;&gt; 422881 | METELLI &gt;&gt; 2201701 | ROADHOUSE &gt;&gt; 223385 | ROADHOUSE &gt;&gt; 223302 | REMSA &gt;&gt; 023385 | REMSA &gt;&gt; 023302 | JAPANPARTS &gt;&gt; PP404AF | ICER &gt;&gt; 180752 | TRUSTING &gt;&gt; 1731 | MOPROD &gt;&gt; MDP1146 | UNIPART &gt;&gt; GBP316 | TRW &gt;&gt; GDB499 | HP (ZEBRA) &gt;&gt; 2638 | PBR &gt;&gt; DB1163 | MK Kashiyama &gt;&gt; D5042M | ASHIKA &gt;&gt; 5104404 | RHIAG &gt;&gt; 10241150 | Brake ENGINEERING &gt;&gt; PA545 | APEC braking &gt;&gt; PAD611 | ABEX &gt;&gt; T6458 | EFI &gt;&gt; EDB621 | E.T.F. &gt;&gt; 120396 | CIFAM &gt;&gt; 8221701 | WOKING &gt;&gt; 3622 | SAMKO &gt;&gt; 5SP506 | SIMER &gt;&gt; 442 | FREN-J &gt;&gt; 3294 | MOTAQUIP &gt;&gt; VBP533 | KAISHIN &gt;&gt; D5042M | CHASE &gt;&gt; P677</t>
  </si>
  <si>
    <t>for Art.No.,  &gt;&gt; 05P555 | Thickness/Strength, mm &gt;&gt; 17,5 | Brake System,  &gt;&gt; AKEBONO | Number of Wear Indicators, Per axle &gt;&gt; 2 | Height, mm &gt;&gt; 53 | Width, mm &gt;&gt; 129</t>
  </si>
  <si>
    <t>from construction year &gt;&gt; 10/1989 | Fitting Position &gt;&gt; Front Axle</t>
  </si>
  <si>
    <t>HONDA &gt;&gt; 45022SD4A13 | HONDA &gt;&gt; 45022SD4020 | HONDA &gt;&gt; 45022SD4505 | HONDA &gt;&gt; 45022SD4E00 | HONDA &gt;&gt; 45022SG0G11 | HONDA &gt;&gt; 45022SG0G10 | ACURA &gt;&gt; 45022SD4E00 | ATE &gt;&gt; 13046059222 | PAGID &gt;&gt; T0370 | TEXTAR &gt;&gt; 2144601 | JURID &gt;&gt; 2841309 | JURID &gt;&gt; 572309J | BENDIX &gt;&gt; 572309B | QUINTON HAZELL &gt;&gt; BP548 | FERODO &gt;&gt; FDB748 | MINTEX &gt;&gt; MDB1589 | DELPHI &gt;&gt; LP665 | ROULUNDS RUBBER &gt;&gt; 472381 | METELLI &gt;&gt; 2201710 | ROADHOUSE &gt;&gt; 232302 | REMSA &gt;&gt; 032302 | ICER &gt;&gt; 180962 | TRUSTING &gt;&gt; 1740 | MOPROD &gt;&gt; MDP1080 | UNIPART &gt;&gt; GBP837 | TRW &gt;&gt; GDB3034 | HP (ZEBRA) &gt;&gt; 2726 | PBR &gt;&gt; DB1133 | MK Kashiyama &gt;&gt; D5050M | RHIAG &gt;&gt; 10345160 | Brake ENGINEERING &gt;&gt; PA737 | Brake ENGINEERING &gt;&gt; PA567 | APEC braking &gt;&gt; PAD704 | EFI &gt;&gt; EDB748Z | E.T.F. &gt;&gt; 120480 | CIFAM &gt;&gt; 8221710 | WOKING &gt;&gt; 3702 | SAMKO &gt;&gt; 5SP555 | SIMER &gt;&gt; 4311 | MOTAQUIP &gt;&gt; VBP574 | CHASE &gt;&gt; P695 | CHASE &gt;&gt; P238</t>
  </si>
  <si>
    <t>HONDA &gt;&gt; 43022SE0930 | HONDA &gt;&gt; 43022SE0000 | HONDA &gt;&gt; 43022SE0931 | HONDA &gt;&gt; 06430SAAJ50 | HONDA &gt;&gt; 43022ST3E50HE | HONDA &gt;&gt; 43022SE0S00 | HONDA &gt;&gt; 43022SF1S01 | HONDA &gt;&gt; 43022ST3E00 | HONDA &gt;&gt; 43022ST3E50 | HONDA &gt;&gt; 43022SR3G01 | HONDA &gt;&gt; 43022SF1S00 | MG &gt;&gt; GBP90316AF | MG &gt;&gt; GBP90316 | ROVER &gt;&gt; GBP90316AF | ROVER &gt;&gt; GBP90316 | ROVER &gt;&gt; EJP1437 | ATE &gt;&gt; 605998 | ATE &gt;&gt; 13046059982 | PAGID &gt;&gt; T0034 | VALEO &gt;&gt; 598053 | VALEO &gt;&gt; 598286 | BOSCH &gt;&gt; 0986494128 | BOSCH &gt;&gt; 0986461131 | TEXTAR &gt;&gt; J3614007130 | TEXTAR &gt;&gt; 2131213005 | TEXTAR &gt;&gt; 2131201 | JURID &gt;&gt; 572136D | JURID &gt;&gt; 572136J | JURID &gt;&gt; 571977J | JURID &gt;&gt; 571977D | BENDIX &gt;&gt; 572136X | BENDIX &gt;&gt; 572136S | BENDIX &gt;&gt; 572136B | BENDIX &gt;&gt; 571977X | BENDIX &gt;&gt; 572136 | BENDIX &gt;&gt; 571977S | BENDIX &gt;&gt; 571977B | BENDIX &gt;&gt; 571977 | QUINTON HAZELL &gt;&gt; BP448 | FERODO &gt;&gt; FSL621 | FERODO &gt;&gt; FDB621 | BREMBO &gt;&gt; P28017 | MINTEX &gt;&gt; MDB1411 | PEX &gt;&gt; 7134 | ZIMMERMANN &gt;&gt; 213121302 | DELPHI &gt;&gt; LP625 | NK &gt;&gt; 229972 | NK &gt;&gt; 222610 | ROADHOUSE &gt;&gt; 223385 | ROADHOUSE &gt;&gt; 223302 | REMSA &gt;&gt; 23385 | REMSA &gt;&gt; 23302 | REMSA &gt;&gt; PCA023385 | REMSA &gt;&gt; PCA023302 | REMSA &gt;&gt; 023302 | REMSA &gt;&gt; 023385 | REMSA &gt;&gt; BPM023385 | REMSA &gt;&gt; BPM023302 | JAPANPARTS &gt;&gt; PP404MK | JAPANPARTS &gt;&gt; PP404AF | JAPANPARTS &gt;&gt; JPP404AF | JAPANPARTS &gt;&gt; JPP404 | ICER &gt;&gt; 180752701 | ICER &gt;&gt; 180752 | LPR &gt;&gt; 05P506 | LPR &gt;&gt; 05P928 | TRW &gt;&gt; GDB499 | FMSI-VERBAND &gt;&gt; D0374 | MK Kashiyama &gt;&gt; D5042M | ASHIKA &gt;&gt; 5104425 | ASHIKA &gt;&gt; 5104404 | NECTO &gt;&gt; FD6458A | MGA &gt;&gt; 305 | APEC braking &gt;&gt; PAD688 | APEC braking &gt;&gt; PAD611 | BRECK &gt;&gt; 2131200C | sbs &gt;&gt; 1501229972 | sbs &gt;&gt; 1501222610 | E.T.F. &gt;&gt; 120530 | E.T.F. &gt;&gt; 120396 | CIFAM &gt;&gt; 8221701 | DEX &gt;&gt; 21731 | WOKING &gt;&gt; P333302 | SAMKO &gt;&gt; 5SP928 | SAMKO &gt;&gt; 5SP506 | SIMER &gt;&gt; 442 | RAICAM &gt;&gt; 14530 | RAICAM &gt;&gt; 4530 | OPEN PARTS &gt;&gt; BPA023302 | COMLINE &gt;&gt; ADB3242 | WAGNER &gt;&gt; WBP21312A | A.B.S. &gt;&gt; 36636OE | A.B.S. &gt;&gt; 36636 | A.B.S. &gt;&gt; 36619</t>
  </si>
  <si>
    <t>HONDA &gt;&gt; 45022SE0G10 | HONDA &gt;&gt; 45022SG0517 | HONDA &gt;&gt; 45022SG0G12 | HONDA &gt;&gt; 45022SG0G13 | HONDA &gt;&gt; 45022SG0527 | HONDA &gt;&gt; 45022SG0G10 | HONDA &gt;&gt; 45022SG0G11 | HONDA &gt;&gt; 45022SG0000 | HONDA &gt;&gt; 45022SG0010 | HONDA &gt;&gt; 45022SG0335 | HONDA &gt;&gt; 45022SG0507 | HONDA &gt;&gt; 45022SG0020 | ROVER &gt;&gt; SFP100210 | ROVER &gt;&gt; SFP100210EVA | ATE &gt;&gt; 13046059222 | ATE &gt;&gt; 605922 | PAGID &gt;&gt; T0370 | BOSCH &gt;&gt; 0986424260 | TEXTAR &gt;&gt; 2144617505 | TEXTAR &gt;&gt; 2144601 | JURID &gt;&gt; 572309J | JURID &gt;&gt; 572309D | BENDIX &gt;&gt; 572309X | BENDIX &gt;&gt; 572309S | BENDIX &gt;&gt; 572309B | BENDIX &gt;&gt; 572309 | QUINTON HAZELL &gt;&gt; BP548 | FERODO &gt;&gt; FDB748 | BREMBO &gt;&gt; P28013 | MINTEX &gt;&gt; MDB1589 | ZIMMERMANN &gt;&gt; 214461751 | DELPHI &gt;&gt; LP665 | NK &gt;&gt; 222612 | ROADHOUSE &gt;&gt; 232302 | REMSA &gt;&gt; 32302 | REMSA &gt;&gt; BPM032302 | REMSA &gt;&gt; 032302 | REMSA &gt;&gt; PCA032302 | JAPANPARTS &gt;&gt; PA440MK | JAPANPARTS &gt;&gt; PA426MK | JAPANPARTS &gt;&gt; PA440AF | JAPANPARTS &gt;&gt; PA426AF | JAPANPARTS &gt;&gt; JPA440AF | JAPANPARTS &gt;&gt; JPA440 | JAPANPARTS &gt;&gt; JPA426 | JAPANPARTS &gt;&gt; JPA426AF | ICER &gt;&gt; 180962 | LPR &gt;&gt; 05P555 | TRW &gt;&gt; GDB3034 | FMSI-VERBAND &gt;&gt; D0409 | MK Kashiyama &gt;&gt; D5050M | ASHIKA &gt;&gt; 5004426 | ASHIKA &gt;&gt; 5004440 | NECTO &gt;&gt; FD6535A | MGA &gt;&gt; 413 | APEC braking &gt;&gt; PAD700 | APEC braking &gt;&gt; PAD704 | sbs &gt;&gt; 1501222612 | E.T.F. &gt;&gt; 120480 | CIFAM &gt;&gt; 8221710 | DEX &gt;&gt; 21740 | WOKING &gt;&gt; P223302 | SAMKO &gt;&gt; 5SP555 | SIMER &gt;&gt; 4311 | RAICAM &gt;&gt; 4550 | RAICAM &gt;&gt; 14550 | COMLINE &gt;&gt; ADB3436</t>
  </si>
  <si>
    <t>HONDA &gt;&gt; 45022SE0G00 | HONDA &gt;&gt; 45022SB2780 | ATE &gt;&gt; 605918 | ATE &gt;&gt; 13046059182 | PAGID &gt;&gt; T0365 | BOSCH &gt;&gt; 0986460936 | TEXTAR &gt;&gt; 2009902 | TEXTAR &gt;&gt; 2009915005 | JURID &gt;&gt; 572288D | JURID &gt;&gt; 572288J | BENDIX &gt;&gt; 572288X | BENDIX &gt;&gt; 572288S | BENDIX &gt;&gt; 572288B | BENDIX &gt;&gt; 572288 | QUINTON HAZELL &gt;&gt; BP425 | FERODO &gt;&gt; FDB454 | BREMBO &gt;&gt; P28010 | MINTEX &gt;&gt; MDB1344 | DELPHI &gt;&gt; LP525 | NK &gt;&gt; 222607 | ROADHOUSE &gt;&gt; 222802 | REMSA &gt;&gt; BPM022802 | REMSA &gt;&gt; 22802 | REMSA &gt;&gt; PCA022802 | REMSA &gt;&gt; 022802 | JAPANPARTS &gt;&gt; PA424AF | JAPANPARTS &gt;&gt; PA424MK | JAPANPARTS &gt;&gt; PA418MK | JAPANPARTS &gt;&gt; PA418AF | JAPANPARTS &gt;&gt; JPA424AF | JAPANPARTS &gt;&gt; JPA424 | JAPANPARTS &gt;&gt; JPA418AF | JAPANPARTS &gt;&gt; JPA418 | ICER &gt;&gt; 180750 | LPR &gt;&gt; 05P073 | TRW &gt;&gt; GDB925 | FMSI-VERBAND &gt;&gt; D0334 | MK Kashiyama &gt;&gt; D5022M | ASHIKA &gt;&gt; 5004424 | ASHIKA &gt;&gt; 5004418 | NECTO &gt;&gt; FD6290A | APEC braking &gt;&gt; PAD502 | sbs &gt;&gt; 1501222607 | E.T.F. &gt;&gt; 120349 | CIFAM &gt;&gt; 8222371 | DEX &gt;&gt; 22461 | WOKING &gt;&gt; P328302 | SAMKO &gt;&gt; 5SP073 | SIMER &gt;&gt; 6611 | COMLINE &gt;&gt; ADB3267 | A.B.S. &gt;&gt; 36615</t>
  </si>
  <si>
    <t>Fitting Position,  &gt;&gt; Front Axle | Thickness/Strength, mm &gt;&gt; 15 | Length, mm &gt;&gt; 130 | Height, mm &gt;&gt; 48 | Weight, kg &gt;&gt; 1,32 | Number of Wear Indicators, Per axle &gt;&gt; 2 | Brake System,  &gt;&gt; Akebono</t>
  </si>
  <si>
    <t>HONDA &gt;&gt; 45022SD2A03 | HONDA &gt;&gt; 45022SD2A10 | HONDA &gt;&gt; 45022SD2A11 | HONDA &gt;&gt; 45022SD2518 | HONDA &gt;&gt; 45022SD2A01 | HONDA &gt;&gt; 45022SD2A02 | HONDA &gt;&gt; 45022SD2519 | HONDA &gt;&gt; 45022SD2506 | HONDA &gt;&gt; 45022SD2508 | HONDA &gt;&gt; 45022SD2509 | HONDA &gt;&gt; 45022SE0517 | HONDA &gt;&gt; 45022SE0912 | HONDA &gt;&gt; 45022SE0527 | HONDA &gt;&gt; 45022SD2505 | HONDA &gt;&gt; 45022SE0507 | HONDA &gt;&gt; 45022SE0325 | HONDA &gt;&gt; 45022SD2A13 | HONDA &gt;&gt; 45022SE0315 | HONDA &gt;&gt; 45022SB2780 | HONDA &gt;&gt; 45022SD2A12 | ATE &gt;&gt; 13046059182 | PAGID &gt;&gt; T0365 | VALEO &gt;&gt; 551610 | BOSCH &gt;&gt; 0986460936 | TEXTAR &gt;&gt; 2010414005 | TEXTAR &gt;&gt; 2009915005T4047 | TEXTAR &gt;&gt; 2009902 | JURID &gt;&gt; 572288J | BENDIX &gt;&gt; 572288B | BENDIX &gt;&gt; 572287B | QUINTON HAZELL &gt;&gt; BP425 | FERODO &gt;&gt; FDB454 | BREMBO &gt;&gt; P28010 | MINTEX &gt;&gt; MDB1586 | MINTEX &gt;&gt; MDB1344 | DELPHI &gt;&gt; LP721 | DELPHI &gt;&gt; LP525 | ROULUNDS RUBBER &gt;&gt; 496881 | ROADHOUSE &gt;&gt; 222802 | REMSA &gt;&gt; 022802 | ICER &gt;&gt; 180750 | UNIPART &gt;&gt; GBP708AF | UNIPART &gt;&gt; GBP708 | TRW &gt;&gt; GDB925 | TRW &gt;&gt; GDB784 | FMSI-VERBAND &gt;&gt; 7229D334 | NECTO &gt;&gt; FD6290A | NIPPARTS &gt;&gt; 3604024 | NIPPARTS &gt;&gt; 3604018 | Brake ENGINEERING &gt;&gt; PA463 | APEC braking &gt;&gt; PAD502 | BLUE PRINT &gt;&gt; ADH24221 | BLUE PRINT &gt;&gt; ADH24216 | A.B.S. &gt;&gt; 36615</t>
  </si>
  <si>
    <t>HONDA &gt;&gt; 43022SR3G01 | HONDA &gt;&gt; 43022SE0S00 | HONDA &gt;&gt; 43022SH3G01 | HONDA &gt;&gt; 43022SR2030 | HONDA &gt;&gt; 43022SR3G00 | HONDA &gt;&gt; 43022SH3N30 | HONDA &gt;&gt; 43022SE7930 | HONDA &gt;&gt; 43022SH3931 | HONDA &gt;&gt; 43022SH3932 | HONDA &gt;&gt; 43022S04E00 | HONDA &gt;&gt; 43022SE0500 | HONDA &gt;&gt; 43022SE0931 | HONDA &gt;&gt; 43022SE0N50 | HONDA &gt;&gt; 43022SE0930 | HONDA &gt;&gt; 43022S04E02 | HONDA &gt;&gt; 43022S04E03 | ATE &gt;&gt; 13046059982 | VALEO &gt;&gt; 598437 | VALEO &gt;&gt; 598053 | VALEO &gt;&gt; 598286 | VALEO &gt;&gt; 551728 | TEXTAR &gt;&gt; 2131213005T4067 | TEXTAR &gt;&gt; 2131201 | JURID &gt;&gt; 572135J | BENDIX &gt;&gt; 572135B | HERTH+BUSS JAKOPARTS &gt;&gt; 3614004 | HERTH+BUSS JAKOPARTS &gt;&gt; 3614002 | QUINTON HAZELL &gt;&gt; BP470 | FERODO &gt;&gt; FSL472 | FERODO &gt;&gt; FDB472 | BREMBO &gt;&gt; P28011 | MINTEX &gt;&gt; MDB2191 | MINTEX &gt;&gt; MDB1360 | DELPHI &gt;&gt; LP772 | DELPHI &gt;&gt; LP562 | ROULUNDS RUBBER &gt;&gt; 422881 | METELLI &gt;&gt; 2201700 | ROADHOUSE &gt;&gt; 22332 | ROADHOUSE &gt;&gt; 2233 | REMSA &gt;&gt; 023386 | ICER &gt;&gt; 180960 | ICER &gt;&gt; 180751 | TRUSTING &gt;&gt; 1730 | UNIPART &gt;&gt; GBP759AF | UNIPART &gt;&gt; GBP759 | TRW &gt;&gt; GDB775 | TRW &gt;&gt; GDB3113 | FMSI-VERBAND &gt;&gt; 7233D374 | NECTO &gt;&gt; FD6344N | NECTO &gt;&gt; FD6344A | NIPPARTS &gt;&gt; 3614004 | NIPPARTS &gt;&gt; 3614002 | Brake ENGINEERING &gt;&gt; PA491 | APEC braking &gt;&gt; PAD587 | BLUE PRINT &gt;&gt; ADH24219 | BLUE PRINT &gt;&gt; ADH24209 | WAGNER &gt;&gt; WBP21312B | A.B.S. &gt;&gt; 36619</t>
  </si>
  <si>
    <t>Fitting Position,  &gt;&gt; Rear Axle | Thickness/Strength, mm &gt;&gt; 12,8 | Length, mm &gt;&gt; 89 | Height, mm &gt;&gt; 36 | Weight, kg &gt;&gt; 0,59 | Brake System,  &gt;&gt; Akebono</t>
  </si>
  <si>
    <t>HONDA &gt;&gt; 43022SR3G01 | HONDA &gt;&gt; 43022SE0S00 | HONDA &gt;&gt; 43022SH3G01 | HONDA &gt;&gt; 43022SR2030 | HONDA &gt;&gt; 43022SR3G00 | HONDA &gt;&gt; 43022SH3N30 | HONDA &gt;&gt; 43022SE7930 | HONDA &gt;&gt; 43022SH3931 | HONDA &gt;&gt; 43022SH3932 | HONDA &gt;&gt; 43022S04E00 | HONDA &gt;&gt; 43022SE0500 | HONDA &gt;&gt; 43022SE0931 | HONDA &gt;&gt; 43022SE0N50 | HONDA &gt;&gt; 43022SE0930 | HONDA &gt;&gt; 43022S04E02 | HONDA &gt;&gt; 43022S04E03 | ATE &gt;&gt; 13046059982 | VALEO &gt;&gt; 598286 | VALEO &gt;&gt; 598437 | VALEO &gt;&gt; 598053 | VALEO &gt;&gt; 551728 | TEXTAR &gt;&gt; 2131213005T4067 | TEXTAR &gt;&gt; 2131201 | JURID &gt;&gt; 572135J | BENDIX &gt;&gt; 572135B | HERTH+BUSS JAKOPARTS &gt;&gt; 3614004 | HERTH+BUSS JAKOPARTS &gt;&gt; 3614002 | QUINTON HAZELL &gt;&gt; BP470 | FERODO &gt;&gt; FSL472 | BREMBO &gt;&gt; P28011 | MINTEX &gt;&gt; MDB2191 | MINTEX &gt;&gt; MDB1360 | DELPHI &gt;&gt; LP772 | DELPHI &gt;&gt; LP562 | ROULUNDS RUBBER &gt;&gt; 422881 | METELLI &gt;&gt; 2201700 | ROADHOUSE &gt;&gt; 22332 | ROADHOUSE &gt;&gt; 2233 | REMSA &gt;&gt; 023386 | ICER &gt;&gt; 180960 | ICER &gt;&gt; 180751 | TRUSTING &gt;&gt; 1730 | UNIPART &gt;&gt; GBP759AF | UNIPART &gt;&gt; GBP759 | TRW &gt;&gt; GDB775 | TRW &gt;&gt; GDB3113 | FMSI-VERBAND &gt;&gt; 7233D374 | NECTO &gt;&gt; FD6344N | NECTO &gt;&gt; FD6344A | NIPPARTS &gt;&gt; 3614004 | NIPPARTS &gt;&gt; 3614002 | Brake ENGINEERING &gt;&gt; PA491 | APEC braking &gt;&gt; PAD587 | BLUE PRINT &gt;&gt; ADH24219 | BLUE PRINT &gt;&gt; ADH24209 | WAGNER &gt;&gt; WBP21312B | A.B.S. &gt;&gt; 36619</t>
  </si>
  <si>
    <t>Thickness/Strength, mm &gt;&gt; 15 | Height, mm &gt;&gt; 47,5 | Length, mm &gt;&gt; 127,8</t>
  </si>
  <si>
    <t>HONDA &gt;&gt; 45022SB2780 | HONDA &gt;&gt; 45022SD2A10 | HONDA &gt;&gt; 450225B2780 | HONDA &gt;&gt; 45022SD2A13 | HONDA &gt;&gt; 45022SE1A13 | HONDA &gt;&gt; 45022SE1911 | HONDA &gt;&gt; 45022SD2A12 | HONDA &gt;&gt; 45022SE1910 | HONDA &gt;&gt; 45022SE1505 | HONDA &gt;&gt; 45022SE0932 | HONDA &gt;&gt; 45022SD2A11 | HONDA &gt;&gt; 45022SE0G00 | HONDA &gt;&gt; 45022SE0A01 | HONDA &gt;&gt; 45022SE0A00 | HONDA &gt;&gt; 45022SE0315 | HONDA &gt;&gt; 45022SD2506 | HONDA &gt;&gt; 45022SD2A03 | HONDA &gt;&gt; 45022SE0931 | HONDA &gt;&gt; 45022SE0912 | HONDA &gt;&gt; 45022SE0509 | HONDA &gt;&gt; 45022SE0911 | HONDA &gt;&gt; 45022SE0316 | HONDA &gt;&gt; 45022SD2505 | HONDA &gt;&gt; 45022SE0507 | HONDA &gt;&gt; 45022SE0325 | ATE &gt;&gt; 13046059182 | PAGID &gt;&gt; T0365 | BOSCH &gt;&gt; 0986460936 | TEXTAR &gt;&gt; 2009902 | BENDIX &gt;&gt; 572287B | HERTH+BUSS JAKOPARTS &gt;&gt; J3604018 | QUINTON HAZELL &gt;&gt; BP425 | FERODO &gt;&gt; FDB454 | MINTEX &gt;&gt; MDB1344 | DELPHI &gt;&gt; LP525 | REMSA &gt;&gt; 022802 | JAPANPARTS &gt;&gt; PA424AF | JAPANPARTS &gt;&gt; PA423AF | KAVO PARTS &gt;&gt; KBP2020 | KAVO PARTS &gt;&gt; BP2008 | TRW &gt;&gt; GDB925 | TRW &gt;&gt; GDB784 | MK Kashiyama &gt;&gt; D5039 | ASHIKA &gt;&gt; 5004424 | ASHIKA &gt;&gt; 5004423 | BLUE PRINT &gt;&gt; ADH24221AF | BLUE PRINT &gt;&gt; ADH24221 | BLUE PRINT &gt;&gt; ADH24216AF | BLUE PRINT &gt;&gt; ADH24216 | NPS &gt;&gt; H360A18 | NPS &gt;&gt; H360A33 | JAPKO &gt;&gt; 50424 | JAPKO &gt;&gt; 50423 | A.B.S. &gt;&gt; 36615</t>
  </si>
  <si>
    <t>Thickness/Strength, mm &gt;&gt; 13 | Height, mm &gt;&gt; 33 |  &gt;&gt; for ABS | Length, mm &gt;&gt; 88,7 | Specification,  &gt;&gt; ECE R90 APPROVED</t>
  </si>
  <si>
    <t>HONDA &gt;&gt; 06022SP8000 | HONDA &gt;&gt; 43022SAAE51 | HONDA &gt;&gt; 43022SF1010 | HONDA &gt;&gt; 43022SF1505 | HONDA &gt;&gt; 43022SF1000 | HONDA &gt;&gt; 43022SF1S00 | HONDA &gt;&gt; 43022S04E01 | HONDA &gt;&gt; 43022S04E02 | HONDA &gt;&gt; 43022ST3E00 | HONDA &gt;&gt; 43022SF1S01 | HONDA &gt;&gt; 43022SH3G00 | HONDA &gt;&gt; 43022SH3G01 | ATE &gt;&gt; 13046059982 | PAGID &gt;&gt; T0034 | BOSCH &gt;&gt; 0986494128 | TEXTAR &gt;&gt; 2131201 | BENDIX &gt;&gt; 571977B | HERTH+BUSS JAKOPARTS &gt;&gt; J3614004 | QUINTON HAZELL &gt;&gt; BP330 | QUINTON HAZELL &gt;&gt; BP448 | FERODO &gt;&gt; FDB621 | MINTEX &gt;&gt; MDB1411 | DELPHI &gt;&gt; LP1456 | NK &gt;&gt; 222627 | NK &gt;&gt; 229972 | REMSA &gt;&gt; 023302 | JAPANPARTS &gt;&gt; PP404AF | KAVO PARTS &gt;&gt; BP2029 | KAVO PARTS &gt;&gt; KBP2007 | TRW &gt;&gt; GDB884 | TRW &gt;&gt; GDB499 | MK Kashiyama &gt;&gt; D5049 | ASHIKA &gt;&gt; 5104404 | BLUE PRINT &gt;&gt; ADH24254 | BLUE PRINT &gt;&gt; ADH24228AF | BLUE PRINT &gt;&gt; ADH24209 | COMLINE &gt;&gt; ADB3242 | COMLINE &gt;&gt; ADB32146 | COMLINE &gt;&gt; ADB0460 | COMLINE &gt;&gt; CBP3242 | COMLINE &gt;&gt; CBP32146 | COMLINE &gt;&gt; CBP0460 | NPS &gt;&gt; H361A08 | NPS &gt;&gt; H361A04 | JAPKO &gt;&gt; 51404 | A.B.S. &gt;&gt; 36636</t>
  </si>
  <si>
    <t>HONDA &gt;&gt; 43022S04000 | HONDA &gt;&gt; 43022SR3505 | HONDA &gt;&gt; 5860051480 | HONDA &gt;&gt; 5860095750 | HONDA &gt;&gt; 5860051490 | HONDA &gt;&gt; 5860091630 | HONDA &gt;&gt; 43022ST3E00 | HONDA &gt;&gt; 43022ST3E01 | HONDA &gt;&gt; 43022ST7000 | HONDA &gt;&gt; 43022ST7A00 | HONDA &gt;&gt; 43022ST3E50HE | HONDA &gt;&gt; 43022S04010 | HONDA &gt;&gt; 06430SAAJ50 | HONDA &gt;&gt; 43022SK3E00 | HONDA &gt;&gt; 43022SR3000 | HONDA &gt;&gt; 43022SR3020 | HONDA &gt;&gt; 43022SR3030 | HONDA &gt;&gt; 43022SR3010 | HONDA &gt;&gt; 43022SK7000 | HONDA &gt;&gt; 43022SR2000 | HONDA &gt;&gt; 43022SR2010 | HONDA &gt;&gt; 43022SF1315 | HONDA &gt;&gt; 43022SF1800 | HONDA &gt;&gt; 43022SH3G00 | HONDA &gt;&gt; 43022SH3J00 | HONDA &gt;&gt; 43022SF1S01 | HONDA &gt;&gt; 43022SF1505 | HONDA &gt;&gt; 43022SF1515 | HONDA &gt;&gt; 43022SF1525 | HONDA &gt;&gt; 43022S04020 | HONDA &gt;&gt; 06022SP8000 | HONDA &gt;&gt; 43022SF0670 | HONDA &gt;&gt; 43022SF1010 | HONDA &gt;&gt; 43022SF1305 | HONDA &gt;&gt; 43022SF1000 | HONDA &gt;&gt; 43022SD2930 | HONDA &gt;&gt; 43022SD2A01 | HONDA &gt;&gt; 43022SF0505 | HONDA &gt;&gt; 43022SD2A00 | HONDA &gt;&gt; 43022S04030 | HONDA &gt;&gt; 43022S04E00 | HONDA &gt;&gt; 43022SAAJ50 | HONDA &gt;&gt; 43022SD2505 | HONDA &gt;&gt; 43022S04E01 | MG &gt;&gt; GBP90347 | MG &gt;&gt; EJP1437 | ROVER &gt;&gt; GBP90347 | ROVER &gt;&gt; GBP90347AF | ROVER &gt;&gt; GBP90316AF | ROVER &gt;&gt; GBP90316 | ROVER &gt;&gt; EJP1437 | LOTUS &gt;&gt; GBP90316 | SPIDAN &gt;&gt; 32870 | SPIDAN &gt;&gt; 31105 | HELLA &gt;&gt; 8DB355005731 | HELLA &gt;&gt; 8DB355017151 | ATE &gt;&gt; 13046059982 | ATE &gt;&gt; 13046057312 | PAGID &gt;&gt; T3107 | PAGID &gt;&gt; T0034 | VALEO &gt;&gt; 597056 | VALEO &gt;&gt; 598053 | VALEO &gt;&gt; 598437 | VALEO &gt;&gt; 551695 | RUVILLE &gt;&gt; D56474430 | BOSCH &gt;&gt; 0986505729 | BOSCH &gt;&gt; 0986495256 | BOSCH &gt;&gt; 0986494392 | BOSCH &gt;&gt; 0986494128 | BOSCH &gt;&gt; 0986461131 | BOSCH &gt;&gt; 0986TB2181 | BOSCH &gt;&gt; 0986TB2120 | BOSCH &gt;&gt; F03B150024 | BOSCH &gt;&gt; F026000120 | BOSCH &gt;&gt; 0986AB3779 | BOSCH &gt;&gt; 0986AB2667 | BOSCH &gt;&gt; 986461131 | BOSCH &gt;&gt; 0986AB2169 | BOSCH &gt;&gt; 0986AB2033 | LEMFORDER &gt;&gt; 26260 | LEMFORDER &gt;&gt; 26178 | TEXTAR &gt;&gt; 2173804 | TEXTAR &gt;&gt; 2173801 | TEXTAR &gt;&gt; 2131213005 | TEXTAR &gt;&gt; 2131201 | JURID &gt;&gt; 572473J | JURID &gt;&gt; 572137J | JURID &gt;&gt; 572136J | JURID &gt;&gt; 571977D | JURID &gt;&gt; 572135J | JURID &gt;&gt; 571977J | BENDIX &gt;&gt; 572137B | BENDIX &gt;&gt; 572136B | BENDIX &gt;&gt; 571977X | BENDIX &gt;&gt; 571977B | FTE &gt;&gt; BL1544A2 | FTE &gt;&gt; BL1288A2 | HERTH+BUSS JAKOPARTS &gt;&gt; J3614004 | QUINTON HAZELL &gt;&gt; BP836 | QUINTON HAZELL &gt;&gt; BP448 | QUINTON HAZELL &gt;&gt; BP330 | QUINTON HAZELL &gt;&gt; BLF836 | QUINTON HAZELL &gt;&gt; BLF448 | FERODO &gt;&gt; TAR621 | FERODO &gt;&gt; FDB621 | FERODO &gt;&gt; FSL621 | BREMBO &gt;&gt; P28017 | MINTEX &gt;&gt; MDK0073 | MINTEX &gt;&gt; MDB1616 | MINTEX &gt;&gt; MDK0054 | MINTEX &gt;&gt; MDB1360 | MINTEX &gt;&gt; MDB1411 | PEX &gt;&gt; 7134 | PEX &gt;&gt; 7374 | ZIMMERMANN &gt;&gt; 217381301 | ZIMMERMANN &gt;&gt; 217191501 | ZIMMERMANN &gt;&gt; 213121302 | DELPHI &gt;&gt; LP404 | DELPHI &gt;&gt; LP625 | DELPHI &gt;&gt; LP0625 | METZGER &gt;&gt; 023352 | METZGER &gt;&gt; 023302 | MAGNETI MARELLI &gt;&gt; 363702160965 | MAGNETI MARELLI &gt;&gt; 363702160861 | ROULUNDS RUBBER &gt;&gt; 620381 | ROULUNDS RUBBER &gt;&gt; 456381 | FEBI BILSTEIN &gt;&gt; 16309 | TRISCAN &gt;&gt; 811040925 | TRISCAN &gt;&gt; 811040978 | TRISCAN &gt;&gt; 811010014 | TRISCAN &gt;&gt; 811040003 | METELLI &gt;&gt; 2201730 | METELLI &gt;&gt; 2201701 | METELLI &gt;&gt; 2201690 | NK &gt;&gt; 229972 | NK &gt;&gt; 222646 | OPTIMAL &gt;&gt; 9572 | OPTIMAL &gt;&gt; 9375 | MAPCO &gt;&gt; 6530 | MEYLE &gt;&gt; 0252173813W | MEYLE &gt;&gt; 0252131313W | KBP &gt;&gt; BP2029 | REMSA &gt;&gt; 32532 | REMSA &gt;&gt; 23302 | REMSA &gt;&gt; 23300 | REMSA &gt;&gt; 023302 | JAPANPARTS &gt;&gt; PP402AF | JAPANPARTS &gt;&gt; PP404AF | ICER &gt;&gt; 180600 | ICER &gt;&gt; 181024 | ICER &gt;&gt; 180752701 | ICER &gt;&gt; 180752 | RAMEDER &gt;&gt; T0610582 | QH Benelux &gt;&gt; 2802 | QH Benelux &gt;&gt; 2727 | QH Benelux &gt;&gt; 2638 | QH Benelux &gt;&gt; 2403 | A.B.S. &gt;&gt; 36636OE | A.B.S. &gt;&gt; 36636 | LPR &gt;&gt; 05P506 | LPR &gt;&gt; 05P1425 | LPR &gt;&gt; 05P507 | TRUSTING &gt;&gt; 1760 | TRUSTING &gt;&gt; 1731 | TRW &gt;&gt; GDB499 | SWAG &gt;&gt; 85916309 | ACDelco &gt;&gt; AC620381D | ACDelco &gt;&gt; AC456381D | SCT Germany &gt;&gt; SP195 | MK Kashiyama &gt;&gt; D5042M | ASHIKA &gt;&gt; 5104404 | ASHIKA &gt;&gt; 5104402 | NECTO &gt;&gt; FD6458N | NECTO &gt;&gt; FD6458A | NIPPARTS &gt;&gt; J3614004 | MGA &gt;&gt; 305 | MGA &gt;&gt; 492 | Brake ENGINEERING &gt;&gt; PA545 | APEC braking &gt;&gt; PAD611 | KAWE &gt;&gt; 80756 | KAWE &gt;&gt; 80695 | fri.tech. &gt;&gt; 1760 | fri.tech. &gt;&gt; 1731 | sbs &gt;&gt; 229972 | E.T.F. &gt;&gt; 120530 | E.T.F. &gt;&gt; 120396 | WOKING &gt;&gt; P333302 | WOKING &gt;&gt; P333300 | BLUE PRINT &gt;&gt; ADH24254 | HERZOG GERMANY &gt;&gt; 886636 | FIRST LINE &gt;&gt; FBP3283 | FIRST LINE &gt;&gt; FBP3146 | DITAS &gt;&gt; DFB5273 | DITAS &gt;&gt; DFB5215</t>
  </si>
  <si>
    <t>HONDA &gt;&gt; 45022SB2G00 | HONDA &gt;&gt; 45022SE0911 | HONDA &gt;&gt; 45022SE0912 | HONDA &gt;&gt; 45022SE0A10 | HONDA &gt;&gt; 45022SH3G30 | HONDA &gt;&gt; 45022SH3G31 | HONDA &gt;&gt; 45022SE0G00 | HONDA &gt;&gt; 45022SE0A00 | HONDA &gt;&gt; 45022SE0A01 | HONDA &gt;&gt; 45022SD2505 | HONDA &gt;&gt; 45022SD2A02 | HONDA &gt;&gt; 45022SD2A13 | HONDA &gt;&gt; 45022SE0307 | HONDA &gt;&gt; 45022SE0910 | HONDA &gt;&gt; 45022SE0306 | HONDA &gt;&gt; 45022SD2A10 | HONDA &gt;&gt; 45022SD2A11 | HONDA &gt;&gt; 45022SD2A12 | HONDA &gt;&gt; 45022SD2506 | HONDA &gt;&gt; 45022SD2A00 | HONDA &gt;&gt; 45022SD2A01 | ACURA &gt;&gt; 45022SH3G31 | SPIDAN &gt;&gt; 31277 | SPIDAN &gt;&gt; 31100 | HELLA &gt;&gt; 8DB355005661 | HELLA &gt;&gt; 8DB355006261 | ATE &gt;&gt; 13046059202 | ATE &gt;&gt; 13046059182 | PAGID &gt;&gt; T0365 | PAGID &gt;&gt; T0012 | VALEO &gt;&gt; 168420 | VALEO &gt;&gt; 598248 | VALEO &gt;&gt; 597022 | VALEO &gt;&gt; 597028 | VALEO &gt;&gt; 597070 | VALEO &gt;&gt; 598047 | BOSCH &gt;&gt; 0986AB2652 | BOSCH &gt;&gt; 0986460972 | BOSCH &gt;&gt; 986460936 | BOSCH &gt;&gt; 0986460936 | BOSCH &gt;&gt; 0986TB2117 | LEMFORDER &gt;&gt; 26256 | LEMFORDER &gt;&gt; 26179 | TEXTAR &gt;&gt; 2132201 | TEXTAR &gt;&gt; 2009915005 | TEXTAR &gt;&gt; 2009914005 | TEXTAR &gt;&gt; 2009902 | JURID &gt;&gt; 572288J | JURID &gt;&gt; 572287J | JURID &gt;&gt; 572330J | JURID &gt;&gt; 572329J | BENDIX &gt;&gt; 572288B | BENDIX &gt;&gt; 572287B | BENDIX &gt;&gt; 572330B | BENDIX &gt;&gt; 572329B | FTE &gt;&gt; BL1291A2 | HERTH+BUSS JAKOPARTS &gt;&gt; J3604023 | HERTH+BUSS JAKOPARTS &gt;&gt; J3604018 | QUINTON HAZELL &gt;&gt; BP550 | QUINTON HAZELL &gt;&gt; BP425 | QUINTON HAZELL &gt;&gt; BLF425 | FERODO &gt;&gt; TAR454 | FERODO &gt;&gt; FDB454 | BREMBO &gt;&gt; P28010 | MINTEX &gt;&gt; MDB1586 | MINTEX &gt;&gt; MDB1374 | MINTEX &gt;&gt; MDB1344 | PEX &gt;&gt; 7325 | PEX &gt;&gt; 7264 | PEX &gt;&gt; 7096 | PEX &gt;&gt; 7096S | DELPHI &gt;&gt; LP605 | DELPHI &gt;&gt; LP525 | METZGER &gt;&gt; 022902 | MAGNETI MARELLI &gt;&gt; 363702160903 | MAGNETI MARELLI &gt;&gt; 363702160984 | MAGNETI MARELLI &gt;&gt; 363702160918 | ROULUNDS RUBBER &gt;&gt; 496881 | TRISCAN &gt;&gt; 811040853 | METELLI &gt;&gt; 2202371 | NK &gt;&gt; 222607 | OPTIMAL &gt;&gt; 9457 | OPTIMAL &gt;&gt; 9571 | MAPCO &gt;&gt; 6434 | MEYLE &gt;&gt; 0252132215W | KBP &gt;&gt; BP2011 | KBP &gt;&gt; BP2008 | REMSA &gt;&gt; 22902 | REMSA &gt;&gt; 22802 | REMSA &gt;&gt; 22800 | REMSA &gt;&gt; 022802 | JAPANPARTS &gt;&gt; PA424AF | JAPANPARTS &gt;&gt; PA423AF | ICER &gt;&gt; 180755 | ICER &gt;&gt; 180750 | RAMEDER &gt;&gt; T0610432 | RAMEDER &gt;&gt; T0610494 | RAMEDER &gt;&gt; T0600071 | QH Benelux &gt;&gt; 2489 | A.B.S. &gt;&gt; 36615 | LPR &gt;&gt; 05P073 | TRW &gt;&gt; GDB925 | ACDelco &gt;&gt; AC496881D | SCT Germany &gt;&gt; SP238 | MK Kashiyama &gt;&gt; D5022M | ASHIKA &gt;&gt; 5004424 | ASHIKA &gt;&gt; 5004423 | NECTO &gt;&gt; FD6526N | NECTO &gt;&gt; FD6526A | NECTO &gt;&gt; FD6290A | NIPPARTS &gt;&gt; J3604023 | NIPPARTS &gt;&gt; J3604018 | Brake ENGINEERING &gt;&gt; PA463 | APEC braking &gt;&gt; PAD502 | KAWE &gt;&gt; 80755 | sbs &gt;&gt; 222607 | E.T.F. &gt;&gt; 120479 | E.T.F. &gt;&gt; 120349 | WOKING &gt;&gt; P328302 | BLUE PRINT &gt;&gt; ADH24216</t>
  </si>
  <si>
    <t>HONDA &gt;&gt; 45022SD4000 | HONDA &gt;&gt; 45022SD4J00 | HONDA &gt;&gt; 45022SF9515 | HONDA &gt;&gt; 45022SG0010 | HONDA &gt;&gt; 45022SG0020 | HONDA &gt;&gt; 45022SF9525 | HONDA &gt;&gt; 45022SG0000 | HONDA &gt;&gt; 45022SE0508 | HONDA &gt;&gt; 45022SE0528 | HONDA &gt;&gt; 45022SF9305 | HONDA &gt;&gt; 45022SF9505 | HONDA &gt;&gt; 45022SE0518 | HONDA &gt;&gt; 45022SG0305 | HONDA &gt;&gt; 45022SK7000 | HONDA &gt;&gt; 45022SD4A12HS | HONDA &gt;&gt; 45022SD4E00 | HONDA &gt;&gt; 45022SR3N30 | HONDA &gt;&gt; 45022SD4A13 | HONDA &gt;&gt; 45022SR3N31 | HONDA &gt;&gt; 45022SD4A11 | HONDA &gt;&gt; 45022SK7506 | HONDA &gt;&gt; 45022SD4A11HS | HONDA &gt;&gt; 45022SK7526 | HONDA &gt;&gt; 45022SK7516 | HONDA &gt;&gt; 45022SK7010 | HONDA &gt;&gt; 45022SG0315 | HONDA &gt;&gt; 45022SD4507 | HONDA &gt;&gt; 45022SD4525 | HONDA &gt;&gt; 45022SD4528 | HONDA &gt;&gt; 45022SG0J00 | HONDA &gt;&gt; 45022SG0G11 | HONDA &gt;&gt; 45022SG0527 | HONDA &gt;&gt; 45022SD4515 | HONDA &gt;&gt; 45022SG0G10 | HONDA &gt;&gt; 45022SD4020 | HONDA &gt;&gt; 45022SG0505 | HONDA &gt;&gt; 45022SD4505 | HONDA &gt;&gt; 45022SG0517 | HONDA &gt;&gt; 45022SG0506 | HONDA &gt;&gt; 45022SG0325 | ACURA &gt;&gt; 45022SG0020 | ACURA &gt;&gt; 45022SG0010 | ACURA &gt;&gt; 45022SG0000 | ACURA &gt;&gt; 45022SE0528 | ACURA &gt;&gt; 45022SD4E00 | ACURA &gt;&gt; 45022SD4A13 | ACURA &gt;&gt; 45022SR3N31 | ACURA &gt;&gt; 45022SK7526 | ACURA &gt;&gt; 45022SD4A11 | ACURA &gt;&gt; 45022SK7010 | ACURA &gt;&gt; 45022SD4528 | ACURA &gt;&gt; 45022SK7000 | ACURA &gt;&gt; 45022SG0G11 | ACURA &gt;&gt; 45022SG0G10 | ACURA &gt;&gt; 45022SG0527 | ACURA &gt;&gt; 45022SG0517 | ACURA &gt;&gt; 45022SG0325 | ACURA &gt;&gt; 45022SD4020 | ACURA &gt;&gt; 45022SG0315 | SPIDAN &gt;&gt; 31742 | SPIDAN &gt;&gt; 31446 | HELLA &gt;&gt; 8DB355016631 | HELLA &gt;&gt; 8DB355006301 | ATE &gt;&gt; 13046059222 | PAGID &gt;&gt; T0370 | VALEO &gt;&gt; 598190 | VALEO &gt;&gt; 551610 | BOSCH &gt;&gt; 0986TB2124 | BOSCH &gt;&gt; 986424260 | BOSCH &gt;&gt; 0986461125 | BOSCH &gt;&gt; 0986424260 | LEMFORDER &gt;&gt; 26254 | TEXTAR &gt;&gt; 2144617505 | TEXTAR &gt;&gt; 2144601 | JURID &gt;&gt; 572309J | BENDIX &gt;&gt; 572309B | FTE &gt;&gt; BL1321A2 | HERTH+BUSS JAKOPARTS &gt;&gt; J3604026 | QUINTON HAZELL &gt;&gt; BP548 | QUINTON HAZELL &gt;&gt; BP380 | QUINTON HAZELL &gt;&gt; BLF548 | QUINTON HAZELL &gt;&gt; BLF636 | FERODO &gt;&gt; FDB748 | FERODO &gt;&gt; TAR748 | BREMBO &gt;&gt; P28014 | BREMBO &gt;&gt; P28013 | MINTEX &gt;&gt; MDB1589 | PEX &gt;&gt; 7196 | ZIMMERMANN &gt;&gt; 214461751 | DELPHI &gt;&gt; LP665 | DELPHI &gt;&gt; LP0559 | MAGNETI MARELLI &gt;&gt; 363702160888 | MAGNETI MARELLI &gt;&gt; 363702160738 | ROULUNDS RUBBER &gt;&gt; 472681 | TRISCAN &gt;&gt; 811010974 | NK &gt;&gt; 222618 | NK &gt;&gt; 222612 | OPTIMAL &gt;&gt; 9652 | MAPCO &gt;&gt; 6328 | KBP &gt;&gt; BP2021 | REMSA &gt;&gt; 40602 | REMSA &gt;&gt; 32302 | REMSA &gt;&gt; 25001 | REMSA &gt;&gt; 23702 | REMSA &gt;&gt; 032302 | JAPANPARTS &gt;&gt; PA426AF | ICER &gt;&gt; 180962 | ICER &gt;&gt; 180704 | RAMEDER &gt;&gt; T0610568 | QH Benelux &gt;&gt; 2726 | A.B.S. &gt;&gt; 36639 | LPR &gt;&gt; 05P339 | LPR &gt;&gt; 05P080 | LPR &gt;&gt; 05P555 | TRW &gt;&gt; GDB3034 | ACDelco &gt;&gt; AC472681D | MK Kashiyama &gt;&gt; D5050M | ASHIKA &gt;&gt; 5004426 | NECTO &gt;&gt; FD6535A | NIPPARTS &gt;&gt; J360426 | NIPPARTS &gt;&gt; J3604026 | MGA &gt;&gt; 413 | Brake ENGINEERING &gt;&gt; PA737 | APEC braking &gt;&gt; PAD704 | KAWE &gt;&gt; 80945 | sbs &gt;&gt; 222618 | sbs &gt;&gt; 222612 | E.T.F. &gt;&gt; 120480 | E.T.F. &gt;&gt; 120371 | WOKING &gt;&gt; P337302 | WOKING &gt;&gt; P223302 | BLUE PRINT &gt;&gt; ADH24227AF | FIRST LINE &gt;&gt; FBP1366</t>
  </si>
  <si>
    <t>MITSUBISHI &gt;&gt; AW346513 | CHEVROLET &gt;&gt; 96391892 | DAEWOO &gt;&gt; S4521001 | DAEWOO &gt;&gt; S4521006 | DAEWOO &gt;&gt; 96245179 | DAEWOO &gt;&gt; 96253368 | ALFAROME/FIAT/LANCI &gt;&gt; 89296391 | SPIDAN &gt;&gt; 32322 | ATE &gt;&gt; 13046059932 | PAGID &gt;&gt; T1253 | VALEO &gt;&gt; 598902 | BOSCH &gt;&gt; 0986424757 | LEMFORDER &gt;&gt; 26507 | TEXTAR &gt;&gt; 2323714514 | TEXTAR &gt;&gt; 2323701 | JURID &gt;&gt; 572407J | JURID &gt;&gt; 572406J | BENDIX &gt;&gt; 572407B | BENDIX &gt;&gt; DB1204 | BENDIX &gt;&gt; 572406B | QUINTON HAZELL &gt;&gt; BP1070 | QUINTON HAZELL &gt;&gt; BLF1070 | FERODO &gt;&gt; FSL1336 | FERODO &gt;&gt; FDB1336 | FERODO &gt;&gt; TAR1336 | BREMBO &gt;&gt; P15005 | MINTEX &gt;&gt; MDB1899 | PEX &gt;&gt; 7556 | ZIMMERMANN &gt;&gt; 232371551 | DELPHI &gt;&gt; LP1424 | METZGER &gt;&gt; 064610 | MAGNETI MARELLI &gt;&gt; 363702161142 | MAGNETI MARELLI &gt;&gt; 363702161128 | ROULUNDS RUBBER &gt;&gt; 666181 | FEBI BILSTEIN &gt;&gt; 16507 | TRISCAN &gt;&gt; 811021004 | METELLI &gt;&gt; 2203690 | NK &gt;&gt; 225003 | OPTIMAL &gt;&gt; 10220 | KBP &gt;&gt; BP1005 | ROADHOUSE &gt;&gt; 264610 | REMSA &gt;&gt; D724A7669 | REMSA &gt;&gt; D7247591 | JAPANPARTS &gt;&gt; PP398AF | ICER &gt;&gt; 181261 | QH Benelux &gt;&gt; 7098 | QH Benelux &gt;&gt; 7097 | A.B.S. &gt;&gt; 37054 | TRUSTING &gt;&gt; 3780 | TRW &gt;&gt; GDB3172 | SWAG &gt;&gt; 89916507 | ACDelco &gt;&gt; AC666181D | ASHIKA &gt;&gt; 5103398 | NECTO &gt;&gt; FD6924A | NECTO &gt;&gt; FD6817N | NECTO &gt;&gt; FD6817A | NIPPARTS &gt;&gt; J3610900 | NIPPARTS &gt;&gt; J3610901 | MGA &gt;&gt; 612 | Brake ENGINEERING &gt;&gt; PA1191 | APEC braking &gt;&gt; PAD1008 | GIRLING &gt;&gt; 6131721 | E.T.F. &gt;&gt; 120851 | WOKING &gt;&gt; P746310 | BLUE PRINT &gt;&gt; ADG04212</t>
  </si>
  <si>
    <t>Brake System,  &gt;&gt; Akebono | for Art.No.,  &gt;&gt; 12-0349 | Fitting Position,  &gt;&gt; Front Axle | Length, mm &gt;&gt; 127,7 | Height, mm &gt;&gt; 48,6 | Thickness/Strength, mm &gt;&gt; 15 | WVA Number,  &gt;&gt; 20104 (15.00)</t>
  </si>
  <si>
    <t>HONDA &gt;&gt; 45022SD2A00 | HONDA &gt;&gt; 45022SE0910 | HONDA &gt;&gt; 45022SE0931 | HONDA &gt;&gt; 45022SB2780 | HONDA &gt;&gt; 45022SE0A01 | HONDA &gt;&gt; 45022SE0A00 | HONDA &gt;&gt; 45022SE0932 | HONDA &gt;&gt; 45022SE0911 | HONDA &gt;&gt; 45022SE0912 | HONDA &gt;&gt; 45022SE0930 | HONDA &gt;&gt; 45022SE0A10 | HONDA &gt;&gt; 45022SD2A12 | HONDA &gt;&gt; 45022SE0316 | HONDA &gt;&gt; 45022SE0325 | HONDA &gt;&gt; 45022SE0315 | HONDA &gt;&gt; 45022SE0A12 | HONDA &gt;&gt; 45022SD2A10 | HONDA &gt;&gt; 45022SD2A11 | HONDA &gt;&gt; 45022SD2A01 | HONDA &gt;&gt; 45022SE1910 | HONDA &gt;&gt; 45022SE1911 | SPIDAN &gt;&gt; 0081277 | ATE &gt;&gt; 13046059182 | PAGID &gt;&gt; T0365 | LUCAS ELECTRICAL &gt;&gt; GDB925 | BOSCH &gt;&gt; 0986460936 | JURID &gt;&gt; 2849060 | JURID &gt;&gt; 2848028 | JURID &gt;&gt; 2842033 | BENDIX &gt;&gt; 572288J | QUINTON HAZELL &gt;&gt; QHR469 | QUINTON HAZELL &gt;&gt; BP425 | FERODO &gt;&gt; FDB454 | MINTEX &gt;&gt; MDB1344 | DELPHI &gt;&gt; LP525 | NK &gt;&gt; 222607 | REMSA &gt;&gt; 22802 | JAPANPARTS &gt;&gt; JPA418 | ICER &gt;&gt; 180750 | QH Benelux &gt;&gt; 2489 | A.B.S. &gt;&gt; 36615 | TRW &gt;&gt; GDB925 | AKEBONO &gt;&gt; A211WK | HP (ZEBRA) &gt;&gt; 2489 | ACDelco &gt;&gt; 1721245 | ROULUNDS BRAKING &gt;&gt; 496881 | MK Kashiyama &gt;&gt; D5033KD186SM | MK Kashiyama &gt;&gt; D5022MKD149M | NIPPARTS &gt;&gt; J360418 | DON &gt;&gt; 030602310 | AP &gt;&gt; LP525</t>
  </si>
  <si>
    <t>Brake System,  &gt;&gt; Akebono | for Art.No.,  &gt;&gt; 12-0371 | Fitting Position,  &gt;&gt; Front Axle | Length, mm &gt;&gt; 129,1 | Height, mm &gt;&gt; 53 | Thickness/Strength, mm &gt;&gt; 17 | WVA Number,  &gt;&gt; 20067 (17.50)</t>
  </si>
  <si>
    <t>HONDA &gt;&gt; 45022SD4A13 | HONDA &gt;&gt; 45022SD4011 | HONDA &gt;&gt; 45022SD4A10 | HONDA &gt;&gt; 45022SD4E00 | SPIDAN &gt;&gt; 0081446 | ATE &gt;&gt; 13046059222 | PAGID &gt;&gt; T3015 | LUCAS ELECTRICAL &gt;&gt; GDB3034 | BOSCH &gt;&gt; 0986461125 | JURID &gt;&gt; 2848007 | JURID &gt;&gt; 2842131 | JURID &gt;&gt; 2842125 | BENDIX &gt;&gt; 572308J | FERODO &gt;&gt; FDB466 | FERODO &gt;&gt; FDB465 | MINTEX &gt;&gt; MDB1469 | NK &gt;&gt; 222618 | REMSA &gt;&gt; 23702 | JAPANPARTS &gt;&gt; JPA422 | JAPANPARTS &gt;&gt; JPA426 | ICER &gt;&gt; 180704 | QH Benelux &gt;&gt; 2517 | A.B.S. &gt;&gt; 36639 | TRW &gt;&gt; GDB3034 | AKEBONO &gt;&gt; A230WK | HP (ZEBRA) &gt;&gt; 2517 | MK Kashiyama &gt;&gt; D5027MKD177M | NIPPARTS &gt;&gt; J360422 | DON &gt;&gt; 030608010</t>
  </si>
  <si>
    <t>Brake System,  &gt;&gt; Akebono | for Art.No.,  &gt;&gt; 12-0396 | Fitting Position,  &gt;&gt; Rear Axle | Length, mm &gt;&gt; 89 | Height, mm &gt;&gt; 35,5 | Thickness/Strength, mm &gt;&gt; 13 | WVA Number,  &gt;&gt; 21312 (13.00)</t>
  </si>
  <si>
    <t>HONDA &gt;&gt; 43022SF1010 | HONDA &gt;&gt; 43022SE0930 | HONDA &gt;&gt; 43022SE0S00 | HONDA &gt;&gt; 43022SF1000 | HONDA &gt;&gt; 43022SK7000 | HONDA &gt;&gt; 43022SE0931 | HONDA &gt;&gt; 43022SF1315 | HONDA &gt;&gt; 43022SD2930 | HONDA &gt;&gt; 43022SE0000 | HONDA &gt;&gt; 43022SH3G01 | HONDA &gt;&gt; 43022SH3G00 | HONDA &gt;&gt; 43022SH3930 | HONDA &gt;&gt; 43022SH3931 | HONDA &gt;&gt; 43022SF1S00 | HONDA &gt;&gt; 43022SF1S01 | ATE &gt;&gt; 13046059982 | PAGID &gt;&gt; T0034 | LUCAS ELECTRICAL &gt;&gt; GDB499 | BOSCH &gt;&gt; 0986461131 | JURID &gt;&gt; 2842103 | BENDIX &gt;&gt; 572136J | QUINTON HAZELL &gt;&gt; BP448 | FERODO &gt;&gt; FDB621 | MINTEX &gt;&gt; MDB1375 | DELPHI &gt;&gt; LP625 | NK &gt;&gt; 222608 | REMSA &gt;&gt; 23302 | ICER &gt;&gt; 180752 | ICER &gt;&gt; 181045 | QH Benelux &gt;&gt; 2638 | TRW &gt;&gt; GDB499 | AKEBONO &gt;&gt; A265K | HP (ZEBRA) &gt;&gt; 2638 | MK Kashiyama &gt;&gt; D5049SM | MK Kashiyama &gt;&gt; D5042MKD210M | NIPPARTS &gt;&gt; J361404 | AP &gt;&gt; LP625</t>
  </si>
  <si>
    <t>Brake System,  &gt;&gt; Akebono | for Art.No.,  &gt;&gt; 12-0479 | Fitting Position,  &gt;&gt; Front Axle | Length, mm &gt;&gt; 132,2 | Height, mm &gt;&gt; 49,5 | Thickness/Strength, mm &gt;&gt; 15 | WVA Number,  &gt;&gt; 21323 (15.00)</t>
  </si>
  <si>
    <t>HONDA &gt;&gt; 45022SH3G31 | HONDA &gt;&gt; 45022SF1305 | HONDA &gt;&gt; 45022SH3931 | HONDA &gt;&gt; 45022SH3932 | HONDA &gt;&gt; 45022SH3930 | HONDA &gt;&gt; 45022SH3G32 | HONDA &gt;&gt; 45022SF1010 | HONDA &gt;&gt; 45022SF1020 | HONDA &gt;&gt; 45022SF1000 | HONDA &gt;&gt; 45022SH3G33 | ATE &gt;&gt; 13046059202 | PAGID &gt;&gt; T0012 | LUCAS ELECTRICAL &gt;&gt; GDB763 | BOSCH &gt;&gt; 0986460972 | BENDIX &gt;&gt; 572330J | MINTEX &gt;&gt; MDB1374 | DELPHI &gt;&gt; LP605 | NK &gt;&gt; 222615 | REMSA &gt;&gt; 22902 | JAPANPARTS &gt;&gt; JPA423 | ICER &gt;&gt; 180755 | QH Benelux &gt;&gt; 2639 | A.B.S. &gt;&gt; 36616 | TRW &gt;&gt; GDB763 | AKEBONO &gt;&gt; A264WK | HP (ZEBRA) &gt;&gt; 2639 | AP &gt;&gt; LP605</t>
  </si>
  <si>
    <t>for Art.No.,  &gt;&gt; 12-0480 | Brake System,  &gt;&gt; Akebono | Fitting Position,  &gt;&gt; Front Axle | Appr. stamp,  &gt;&gt; E3 90 R-010/636 | Length, mm &gt;&gt; 129,1 | Height, mm &gt;&gt; 53 | Thickness/Strength, mm &gt;&gt; 16,8 | WVA Number,  &gt;&gt; 21446 (17.00)</t>
  </si>
  <si>
    <t>HONDA &gt;&gt; 45022SD4000 | HONDA &gt;&gt; 45022SD4A12 | HONDA &gt;&gt; 45022SG0000 | HONDA &gt;&gt; 45022SG0010 | HONDA &gt;&gt; 45022SK7000 | HONDA &gt;&gt; 45022SF9305 | HONDA &gt;&gt; 45022SK7010 | HONDA &gt;&gt; 45022SG0020 | HONDA &gt;&gt; 45022SD4020 | HONDA &gt;&gt; 45022SD4A11 | HONDA &gt;&gt; 45022SG0J00 | HONDA &gt;&gt; 45022SG0G11 | HONDA &gt;&gt; 45022SG0335 | HONDA &gt;&gt; 45022SG0G10 | HONDA &gt;&gt; 45022SG0305 | HONDA &gt;&gt; 45022SD4010 | HONDA &gt;&gt; 45022SG0325 | HONDA &gt;&gt; 45022SG0315 | PAGID &gt;&gt; T0370 | LUCAS ELECTRICAL &gt;&gt; GDB733 | BOSCH &gt;&gt; 0986424260 | BENDIX &gt;&gt; 572309J | FERODO &gt;&gt; FDB748 | MINTEX &gt;&gt; MDB1589 | MINTEX &gt;&gt; MDB1399 | DELPHI &gt;&gt; LP665 | NK &gt;&gt; 222612 | REMSA &gt;&gt; 32302 | ICER &gt;&gt; 180962 | QH Benelux &gt;&gt; 2726 | A.B.S. &gt;&gt; 36708 | TRW &gt;&gt; GDB733 | AKEBONO &gt;&gt; A274WK | HP (ZEBRA) &gt;&gt; 2726 | AP &gt;&gt; LP665</t>
  </si>
  <si>
    <t>HONDA &gt;&gt; 43022SE0000 | HONDA &gt;&gt; 43022SE0930 | HONDA &gt;&gt; 06430SAAJ50 | HONDA &gt;&gt; 43022SF1S01 | HONDA &gt;&gt; 43022ST3E00 | HONDA &gt;&gt; 43022ST3E50 | HONDA &gt;&gt; 43022SR3G01 | HONDA &gt;&gt; 43022SE0931 | HONDA &gt;&gt; 43022SE0S00 | HONDA &gt;&gt; 43022SF1S00 | ROVER &gt;&gt; GBP90316AF | ROVER &gt;&gt; GBP90316 | ROVER &gt;&gt; EJP1437 | ATE &gt;&gt; 13046059982 | ATE &gt;&gt; 605998 | PAGID &gt;&gt; T0034 | VALEO &gt;&gt; 598053 | VALEO &gt;&gt; 598286 | BOSCH &gt;&gt; 0986494128 | BOSCH &gt;&gt; 0986461131 | TEXTAR &gt;&gt; 2131213005 | TEXTAR &gt;&gt; 2131201 | TEXTAR &gt;&gt; J3614007130 | JURID &gt;&gt; 572136D | JURID &gt;&gt; 572136J | JURID &gt;&gt; 571977D | JURID &gt;&gt; 571977J | BENDIX &gt;&gt; 572136X | BENDIX &gt;&gt; 571977X | BENDIX &gt;&gt; 572136 | BENDIX &gt;&gt; 572136B | BENDIX &gt;&gt; 571977 | BENDIX &gt;&gt; 571977B | QUINTON HAZELL &gt;&gt; BP448 | FERODO &gt;&gt; FSL621 | FERODO &gt;&gt; FDB621 | BREMBO &gt;&gt; P28017 | MINTEX &gt;&gt; MDB1411 | PEX &gt;&gt; 7134 | ZIMMERMANN &gt;&gt; 213121302 | DELPHI &gt;&gt; LP625 | METELLI &gt;&gt; 2201701 | NK &gt;&gt; 229972 | NK &gt;&gt; 222610 | ROADHOUSE &gt;&gt; 223385 | ROADHOUSE &gt;&gt; 223302 | REMSA &gt;&gt; 23385 | REMSA &gt;&gt; 23302 | REMSA &gt;&gt; PCA023385 | REMSA &gt;&gt; PCA023302 | REMSA &gt;&gt; 023302 | REMSA &gt;&gt; 023385 | REMSA &gt;&gt; BPM023302 | REMSA &gt;&gt; BPM023385 | JAPANPARTS &gt;&gt; PP404MK | JAPANPARTS &gt;&gt; PP404AF | JAPANPARTS &gt;&gt; JPP404AF | JAPANPARTS &gt;&gt; JPP404 | ICER &gt;&gt; 180752701 | ICER &gt;&gt; 180752 | LPR &gt;&gt; 05P506 | LPR &gt;&gt; 05P928 | TRUSTING &gt;&gt; 1731 | TRW &gt;&gt; GDB499 | FMSI-VERBAND &gt;&gt; D0374 | WAGNER LOCKHEED &gt;&gt; WBP21312A | MK Kashiyama &gt;&gt; D5042M | ASHIKA &gt;&gt; 5104425 | ASHIKA &gt;&gt; 5104404 | NECTO &gt;&gt; FD6458A | MGA &gt;&gt; 305 | APEC braking &gt;&gt; PAD688 | APEC braking &gt;&gt; PAD611 | BRECK &gt;&gt; 2131200C | fri.tech. &gt;&gt; 1731 | sbs &gt;&gt; 1501229972 | sbs &gt;&gt; 1501222610 | E.T.F. &gt;&gt; 120530 | E.T.F. &gt;&gt; 120396 | DEX &gt;&gt; 21731 | WOKING &gt;&gt; P333302 | SAMKO &gt;&gt; 5SP928 | SAMKO &gt;&gt; 5SP506 | SIMER &gt;&gt; 442 | RAICAM &gt;&gt; 14530 | RAICAM &gt;&gt; 4530 | OPEN PARTS &gt;&gt; BPA023302 | COMLINE &gt;&gt; ADB3242 | STOP &gt;&gt; 572136S | STOP &gt;&gt; 571977S | GALFER &gt;&gt; 21121 | A.B.S. &gt;&gt; 36636OE | A.B.S. &gt;&gt; 36636 | A.B.S. &gt;&gt; 36619</t>
  </si>
  <si>
    <t>HONDA &gt;&gt; 45022SG0G12 | HONDA &gt;&gt; 45022SG0010 | HONDA &gt;&gt; 45022SG0517 | HONDA &gt;&gt; 45022SG0G10 | HONDA &gt;&gt; 45022SG0G11 | HONDA &gt;&gt; 45022SG0527 | HONDA &gt;&gt; 45022SG0020 | HONDA &gt;&gt; 45022SG0335 | HONDA &gt;&gt; 45022SG0507 | HONDA &gt;&gt; 45022SG0G13 | HONDA &gt;&gt; 45022SE0G10 | HONDA &gt;&gt; 45022SG0000 | ROVER &gt;&gt; SFP100210 | ROVER &gt;&gt; SFP100210EVA | ATE &gt;&gt; 13046059222 | ATE &gt;&gt; 605922 | PAGID &gt;&gt; T0370 | BOSCH &gt;&gt; 0986424260 | TEXTAR &gt;&gt; 2144617505 | TEXTAR &gt;&gt; 2144601 | JURID &gt;&gt; 572309J | JURID &gt;&gt; 572309D | BENDIX &gt;&gt; 572309X | BENDIX &gt;&gt; 572309B | BENDIX &gt;&gt; 572309 | QUINTON HAZELL &gt;&gt; BP548 | FERODO &gt;&gt; FDB748 | BREMBO &gt;&gt; P28013 | MINTEX &gt;&gt; MDB1589 | ZIMMERMANN &gt;&gt; 214461751 | DELPHI &gt;&gt; LP665 | METELLI &gt;&gt; 2201710 | NK &gt;&gt; 222612 | ROADHOUSE &gt;&gt; 232302 | REMSA &gt;&gt; BPM032302 | REMSA &gt;&gt; 32302 | REMSA &gt;&gt; 032302 | REMSA &gt;&gt; PCA032302 | JAPANPARTS &gt;&gt; PA426MK | JAPANPARTS &gt;&gt; PA426AF | JAPANPARTS &gt;&gt; JPA440AF | JAPANPARTS &gt;&gt; JPA440 | JAPANPARTS &gt;&gt; JPA426AF | JAPANPARTS &gt;&gt; JPA426 | JAPANPARTS &gt;&gt; PA440AF | JAPANPARTS &gt;&gt; PA440MK | ICER &gt;&gt; 180962 | LPR &gt;&gt; 05P555 | TRUSTING &gt;&gt; 1740 | TRW &gt;&gt; GDB3034 | FMSI-VERBAND &gt;&gt; D0409 | MK Kashiyama &gt;&gt; D5050M | ASHIKA &gt;&gt; 5004440 | ASHIKA &gt;&gt; 5004426 | NECTO &gt;&gt; FD6535A | MGA &gt;&gt; 413 | APEC braking &gt;&gt; PAD704 | APEC braking &gt;&gt; PAD700 | fri.tech. &gt;&gt; 1740 | sbs &gt;&gt; 1501222612 | E.T.F. &gt;&gt; 120480 | DEX &gt;&gt; 21740 | WOKING &gt;&gt; P223302 | SAMKO &gt;&gt; 5SP555 | SIMER &gt;&gt; 4311 | RAICAM &gt;&gt; 14550 | RAICAM &gt;&gt; 4550 | COMLINE &gt;&gt; ADB3436 | STOP &gt;&gt; 572309S | GALFER &gt;&gt; 21160</t>
  </si>
  <si>
    <t>HONDA &gt;&gt; 45022SB2780 | HONDA &gt;&gt; 45022SE0G00 | ATE &gt;&gt; 605918 | ATE &gt;&gt; 13046059182 | PAGID &gt;&gt; T0365 | BOSCH &gt;&gt; 0986460936 | TEXTAR &gt;&gt; 2009902 | TEXTAR &gt;&gt; 2009915005 | JURID &gt;&gt; 572288J | JURID &gt;&gt; 572288D | BENDIX &gt;&gt; 572288X | BENDIX &gt;&gt; 572288B | BENDIX &gt;&gt; 572288 | QUINTON HAZELL &gt;&gt; BP425 | FERODO &gt;&gt; FDB454 | BREMBO &gt;&gt; P28010 | MINTEX &gt;&gt; MDB1344 | DELPHI &gt;&gt; LP525 | METELLI &gt;&gt; 2202371 | NK &gt;&gt; 222607 | ROADHOUSE &gt;&gt; 222802 | REMSA &gt;&gt; 22802 | REMSA &gt;&gt; PCA022802 | REMSA &gt;&gt; 022802 | REMSA &gt;&gt; BPM022802 | JAPANPARTS &gt;&gt; PA424MK | JAPANPARTS &gt;&gt; PA424AF | JAPANPARTS &gt;&gt; PA418MK | JAPANPARTS &gt;&gt; PA418AF | JAPANPARTS &gt;&gt; JPA424 | JAPANPARTS &gt;&gt; JPA424AF | JAPANPARTS &gt;&gt; JPA418 | JAPANPARTS &gt;&gt; JPA418AF | ICER &gt;&gt; 180750 | LPR &gt;&gt; 05P073 | TRUSTING &gt;&gt; 2461 | TRW &gt;&gt; GDB925 | FMSI-VERBAND &gt;&gt; D0334 | MK Kashiyama &gt;&gt; D5022M | ASHIKA &gt;&gt; 5004424 | ASHIKA &gt;&gt; 5004418 | NECTO &gt;&gt; FD6290A | APEC braking &gt;&gt; PAD502 | fri.tech. &gt;&gt; 2461 | sbs &gt;&gt; 1501222607 | E.T.F. &gt;&gt; 120349 | DEX &gt;&gt; 22461 | WOKING &gt;&gt; P328302 | SAMKO &gt;&gt; 5SP073 | SIMER &gt;&gt; 6611 | COMLINE &gt;&gt; ADB3267 | STOP &gt;&gt; 572288S | GALFER &gt;&gt; 21073 | A.B.S. &gt;&gt; 36615</t>
  </si>
  <si>
    <t>HONDA &gt;&gt; 45022SD2506 | HONDA &gt;&gt; 45022SD2505 | HONDA &gt;&gt; 45022SD2A01 | HONDA &gt;&gt; 45022SE0306 | HONDA &gt;&gt; 45022SF1505 | HONDA &gt;&gt; 45022SH3G30 | HONDA &gt;&gt; 45022SH3G31 | HONDA &gt;&gt; 45022SH3505 | HONDA &gt;&gt; 45022SE0316 | HONDA &gt;&gt; 45022SE0912 | HONDA &gt;&gt; 45022SD2A02 | HONDA &gt;&gt; 45022SD2A11 | HONDA &gt;&gt; 45022SD2A13 | HONDA &gt;&gt; 45022SD2A12 | HONDA &gt;&gt; 45022SD2A10 | ACURA &gt;&gt; 45022SH3G31 | SPIDAN &gt;&gt; 31277 | SPIDAN &gt;&gt; 31100 | ATE &gt;&gt; 13046059202 | ATE &gt;&gt; 13046059182 | PAGID &gt;&gt; T0365 | LUCAS ELECTRICAL &gt;&gt; GDB925 | VALEO &gt;&gt; 597022 | VALEO &gt;&gt; 597070 | VALEO &gt;&gt; 598248 | VALEO &gt;&gt; 598047 | VALEO &gt;&gt; 597028 | VALEO &gt;&gt; 168420 | BOSCH &gt;&gt; 0986460936 | BOSCH &gt;&gt; 986460936 | LEMFORDER &gt;&gt; 26256 | LEMFORDER &gt;&gt; 26179 | TEXTAR &gt;&gt; 2009914005 | TEXTAR &gt;&gt; 2009902 | TEXTAR &gt;&gt; 2132201 | TEXTAR &gt;&gt; 2009915005 | JURID &gt;&gt; 572288J | JURID &gt;&gt; 572287J | BENDIX &gt;&gt; 572329B | BENDIX &gt;&gt; 572288 | BENDIX &gt;&gt; 572288B | BENDIX &gt;&gt; 572287B | BENDIX &gt;&gt; DB429 | FTE &gt;&gt; BL1291A2 | HERTH+BUSS JAKOPARTS &gt;&gt; J3604023 | HERTH+BUSS JAKOPARTS &gt;&gt; J3604018 | QUINTON HAZELL &gt;&gt; BP425 | QUINTON HAZELL &gt;&gt; BLF425 | FERODO &gt;&gt; TAR454 | FERODO &gt;&gt; FDB454 | BREMBO &gt;&gt; P28010 | MINTEX &gt;&gt; MDB1586 | MINTEX &gt;&gt; MDB1344 | PEX &gt;&gt; 7325 | PEX &gt;&gt; 7264 | PEX &gt;&gt; 7096 | DELPHI &gt;&gt; LP525 | METZGER &gt;&gt; 022902 | MAGNETI MARELLI &gt;&gt; 363702160984 | MAGNETI MARELLI &gt;&gt; 363702160918 | MAGNETI MARELLI &gt;&gt; 363702160903 | ROULUNDS RUBBER &gt;&gt; 496881 | TRISCAN &gt;&gt; 811040853 | NK &gt;&gt; 222607 | OPTIMAL &gt;&gt; 9571 | OPTIMAL &gt;&gt; 9457 | MAPCO &gt;&gt; 6434 | KBP &gt;&gt; BP2011 | KBP &gt;&gt; BP2008 | ROADHOUSE &gt;&gt; 222802 | REMSA &gt;&gt; 022802 | JAPANPARTS &gt;&gt; PA424AF | JAPANPARTS &gt;&gt; PA423AF | ICER &gt;&gt; 180755 | ICER &gt;&gt; 180750 | QH Benelux &gt;&gt; 2489 | A.B.S. &gt;&gt; 36615 | LPR &gt;&gt; 05P073 | TRW &gt;&gt; GDB925 | ACDelco &gt;&gt; AC496881D | SCT Germany &gt;&gt; SP238 | ASHIKA &gt;&gt; 5004423 | ASHIKA &gt;&gt; 5004424 | NECTO &gt;&gt; FD6526N | NECTO &gt;&gt; FD6526A | NECTO &gt;&gt; FD6290A | Brake ENGINEERING &gt;&gt; PA463 | APEC braking &gt;&gt; PAD502 | GIRLING &gt;&gt; 6109259 | E.T.F. &gt;&gt; 120479 | E.T.F. &gt;&gt; 120349 | WOKING &gt;&gt; D3347229 | BLUE PRINT &gt;&gt; ADH24216</t>
  </si>
  <si>
    <t>HONDA &gt;&gt; 43022S04E02 | HONDA &gt;&gt; 43022SO4E02 | PAGID &gt;&gt; T3107 | LUCAS ELECTRICAL &gt;&gt; GDB3113 | VALEO &gt;&gt; 598437 | BOSCH &gt;&gt; 0986461131 | TEXTAR &gt;&gt; 2173813005 | TEXTAR &gt;&gt; 2173801 | JURID &gt;&gt; 572134J | BENDIX &gt;&gt; 572134 | BENDIX &gt;&gt; 572134B | HERTH+BUSS JAKOPARTS &gt;&gt; J3614004 | FERODO &gt;&gt; FDB472 | BREMBO &gt;&gt; P28011 | MINTEX &gt;&gt; MDB2166 | PEX &gt;&gt; 7374 | DELPHI &gt;&gt; LP1456 | MAGNETI MARELLI &gt;&gt; 363702160765 | METELLI &gt;&gt; 2201761 | NK &gt;&gt; 222627 | ROADHOUSE &gt;&gt; 223320 | REMSA &gt;&gt; 023320 | QH Benelux &gt;&gt; 2802 | A.B.S. &gt;&gt; 36870 | LPR &gt;&gt; 05P505 | TRW &gt;&gt; GDB3113 | ACDelco &gt;&gt; AC422881D | NIPPARTS &gt;&gt; J361408 | APEC braking &gt;&gt; PAD811 | GIRLING &gt;&gt; 6131139 | WOKING &gt;&gt; D7437233 | WOKING &gt;&gt; D5647443</t>
  </si>
  <si>
    <t>CHEVROLET &gt;&gt; 96391892 | CHEVROLET &gt;&gt; AW346513 | DAEWOO &gt;&gt; S4521001 | DAEWOO &gt;&gt; 96245179 | DAEWOO &gt;&gt; 96253368 | DAEWOO &gt;&gt; S4521006 | ALFAROME/FIAT/LANCI &gt;&gt; 89296391 | SPIDAN &gt;&gt; 32322 | ATE &gt;&gt; 13046059932 | PAGID &gt;&gt; T1253 | LUCAS ELECTRICAL &gt;&gt; GDB3172 | VALEO &gt;&gt; 598902 | BOSCH &gt;&gt; 0986424757 | LEMFORDER &gt;&gt; 26507 | TEXTAR &gt;&gt; 2323714514 | TEXTAR &gt;&gt; 2323701 | JURID &gt;&gt; 572407J | JURID &gt;&gt; 572406J | BENDIX &gt;&gt; 572407B | BENDIX &gt;&gt; 572406B | BENDIX &gt;&gt; DB1204 | QUINTON HAZELL &gt;&gt; BLF1070 | QUINTON HAZELL &gt;&gt; BP1070 | FERODO &gt;&gt; FSL1336 | FERODO &gt;&gt; FDB1336 | FERODO &gt;&gt; TAR1336 | BREMBO &gt;&gt; P15005 | MINTEX &gt;&gt; MDB1899 | PEX &gt;&gt; 7556 | ZIMMERMANN &gt;&gt; 232371551 | DELPHI &gt;&gt; LP1424 | METZGER &gt;&gt; 064610 | MAGNETI MARELLI &gt;&gt; 363702161142 | MAGNETI MARELLI &gt;&gt; 363702161128 | ROULUNDS RUBBER &gt;&gt; 666181 | FEBI BILSTEIN &gt;&gt; 16507 | TRISCAN &gt;&gt; 811021004 | METELLI &gt;&gt; 2203690 | NK &gt;&gt; 225003 | OPTIMAL &gt;&gt; 10220 | KBP &gt;&gt; BP1005 | ROADHOUSE &gt;&gt; 264610 | REMSA &gt;&gt; 064610 | JAPANPARTS &gt;&gt; PP398AF | ICER &gt;&gt; 181261 | QH Benelux &gt;&gt; 7098 | QH Benelux &gt;&gt; 7097 | A.B.S. &gt;&gt; 37054 | TRW &gt;&gt; GDB3172 | SWAG &gt;&gt; 89916507 | ACDelco &gt;&gt; AC666181D | ASHIKA &gt;&gt; 5103398 | NECTO &gt;&gt; FD6817N | NECTO &gt;&gt; FD6817A | NIPPARTS &gt;&gt; J3610901 | NIPPARTS &gt;&gt; J3610900 | MGA &gt;&gt; 612 | Brake ENGINEERING &gt;&gt; PA1191 | APEC braking &gt;&gt; PAD1008 | GIRLING &gt;&gt; 6131721 | fri.tech. &gt;&gt; 3780 | E.T.F. &gt;&gt; 120851 | WOKING &gt;&gt; D724A7669 | WOKING &gt;&gt; D7247591 | BLUE PRINT &gt;&gt; ADG04212 | GALFER &gt;&gt; 2381900</t>
  </si>
  <si>
    <t>HONDA &gt;&gt; 45022SB2G00 | HONDA &gt;&gt; 45022SE0911 | HONDA &gt;&gt; 45022SE0912 | HONDA &gt;&gt; 45022SE0A10 | HONDA &gt;&gt; 45022SH3G30 | HONDA &gt;&gt; 45022SH3G31 | HONDA &gt;&gt; 45022SE0G00 | HONDA &gt;&gt; 45022SE0A00 | HONDA &gt;&gt; 45022SE0A01 | HONDA &gt;&gt; 45022SD2505 | HONDA &gt;&gt; 45022SD2A02 | HONDA &gt;&gt; 45022SD2A13 | HONDA &gt;&gt; 45022SE0307 | HONDA &gt;&gt; 45022SE0910 | HONDA &gt;&gt; 45022SE0306 | HONDA &gt;&gt; 45022SD2A10 | HONDA &gt;&gt; 45022SD2A11 | HONDA &gt;&gt; 45022SD2A12 | HONDA &gt;&gt; 45022SD2506 | HONDA &gt;&gt; 45022SD2A00 | HONDA &gt;&gt; 45022SD2A01 | ACURA &gt;&gt; 45022SH3G31 | SPIDAN &gt;&gt; 31277 | SPIDAN &gt;&gt; 31100 | HELLA &gt;&gt; 8DB355005661 | HELLA &gt;&gt; 8DB355006261 | ATE &gt;&gt; 13046059202 | ATE &gt;&gt; 13046059182 | PAGID &gt;&gt; T0365 | PAGID &gt;&gt; T0012 | VALEO &gt;&gt; 168420 | VALEO &gt;&gt; 598248 | VALEO &gt;&gt; 597022 | VALEO &gt;&gt; 597028 | VALEO &gt;&gt; 597070 | VALEO &gt;&gt; 598047 | BOSCH &gt;&gt; 0986AB2652 | BOSCH &gt;&gt; 0986460972 | BOSCH &gt;&gt; 986460936 | BOSCH &gt;&gt; 0986460936 | BOSCH &gt;&gt; 0986TB2117 | LEMFORDER &gt;&gt; 26256 | LEMFORDER &gt;&gt; 26179 | TEXTAR &gt;&gt; 2132201 | TEXTAR &gt;&gt; 2009915005 | TEXTAR &gt;&gt; 2009914005 | TEXTAR &gt;&gt; 2009902 | JURID &gt;&gt; 572288J | JURID &gt;&gt; 572287J | JURID &gt;&gt; 572330J | JURID &gt;&gt; 572329J | BENDIX &gt;&gt; 572288B | BENDIX &gt;&gt; 572287B | BENDIX &gt;&gt; 572330B | BENDIX &gt;&gt; 572329B | FTE &gt;&gt; BL1291A2 | HERTH+BUSS JAKOPARTS &gt;&gt; J3604023 | HERTH+BUSS JAKOPARTS &gt;&gt; J3604018 | QUINTON HAZELL &gt;&gt; BP425 | QUINTON HAZELL &gt;&gt; BP550 | QUINTON HAZELL &gt;&gt; BLF425 | FERODO &gt;&gt; TAR454 | FERODO &gt;&gt; FDB454 | BREMBO &gt;&gt; P28010 | MINTEX &gt;&gt; MDB1586 | MINTEX &gt;&gt; MDB1374 | MINTEX &gt;&gt; MDB1344 | PEX &gt;&gt; 7325 | PEX &gt;&gt; 7264 | PEX &gt;&gt; 7096S | PEX &gt;&gt; 7096 | DELPHI &gt;&gt; LP525 | DELPHI &gt;&gt; LP605 | METZGER &gt;&gt; 022902 | MAGNETI MARELLI &gt;&gt; 363702160903 | MAGNETI MARELLI &gt;&gt; 363702160984 | MAGNETI MARELLI &gt;&gt; 363702160918 | ROULUNDS RUBBER &gt;&gt; 496881 | TRISCAN &gt;&gt; 811040853 | METELLI &gt;&gt; 2202371 | NK &gt;&gt; 222607 | OPTIMAL &gt;&gt; 9571 | OPTIMAL &gt;&gt; 9457 | MAPCO &gt;&gt; 6434 | MEYLE &gt;&gt; 0252132215W | KBP &gt;&gt; BP2011 | KBP &gt;&gt; BP2008 | REMSA &gt;&gt; 22902 | REMSA &gt;&gt; 22802 | REMSA &gt;&gt; 22800 | REMSA &gt;&gt; 022802 | JAPANPARTS &gt;&gt; PA424AF | JAPANPARTS &gt;&gt; PA423AF | ICER &gt;&gt; 180755 | ICER &gt;&gt; 180750 | RAMEDER &gt;&gt; T0610432 | RAMEDER &gt;&gt; T0610494 | RAMEDER &gt;&gt; T0600071 | QH Benelux &gt;&gt; 2489 | A.B.S. &gt;&gt; 36615 | LPR &gt;&gt; 05P073 | TRW &gt;&gt; GDB925 | ACDelco &gt;&gt; AC496881D | SCT Germany &gt;&gt; SP238 | MK Kashiyama &gt;&gt; D5022M | ASHIKA &gt;&gt; 5004424 | ASHIKA &gt;&gt; 5004423 | NECTO &gt;&gt; FD6526N | NECTO &gt;&gt; FD6526A | NECTO &gt;&gt; FD6290A | NIPPARTS &gt;&gt; J3604023 | NIPPARTS &gt;&gt; J3604018 | APEC braking &gt;&gt; PAD502 | GIRLING &gt;&gt; 6109259 | KAWE &gt;&gt; 80755 | sbs &gt;&gt; 222607 | E.T.F. &gt;&gt; 120479 | E.T.F. &gt;&gt; 120349 | WOKING &gt;&gt; P328302 | BLUE PRINT &gt;&gt; ADH24216</t>
  </si>
  <si>
    <t>for manufacturer,  &gt;&gt; AKEBONO | Length, mm &gt;&gt; 88,8 | Height, mm &gt;&gt; 35,3 | Thickness/Strength, mm &gt;&gt; 13 |  &gt;&gt; with acoustic wear warning |  &gt;&gt; with brake caliper screws</t>
  </si>
  <si>
    <t>HONDA &gt;&gt; 43022S04000 | HONDA &gt;&gt; 43022SR3505 | HONDA &gt;&gt; 5860051480 | HONDA &gt;&gt; 5860095750 | HONDA &gt;&gt; 5860051490 | HONDA &gt;&gt; 5860091630 | HONDA &gt;&gt; 43022ST3E00 | HONDA &gt;&gt; 43022ST3E01 | HONDA &gt;&gt; 43022ST7000 | HONDA &gt;&gt; 43022ST7A00 | HONDA &gt;&gt; 43022ST3E50HE | HONDA &gt;&gt; 43022S04010 | HONDA &gt;&gt; 06430SAAJ50 | HONDA &gt;&gt; 43022SK3E00 | HONDA &gt;&gt; 43022SR3000 | HONDA &gt;&gt; 43022SR3020 | HONDA &gt;&gt; 43022SR3030 | HONDA &gt;&gt; 43022SR3010 | HONDA &gt;&gt; 43022SK7000 | HONDA &gt;&gt; 43022SR2000 | HONDA &gt;&gt; 43022SR2010 | HONDA &gt;&gt; 43022SF1315 | HONDA &gt;&gt; 43022SF1800 | HONDA &gt;&gt; 43022SH3G00 | HONDA &gt;&gt; 43022SH3J00 | HONDA &gt;&gt; 43022SF1S01 | HONDA &gt;&gt; 43022SF1505 | HONDA &gt;&gt; 43022SF1515 | HONDA &gt;&gt; 43022SF1525 | HONDA &gt;&gt; 43022S04020 | HONDA &gt;&gt; 06022SP8000 | HONDA &gt;&gt; 43022SF0670 | HONDA &gt;&gt; 43022SF1010 | HONDA &gt;&gt; 43022SF1305 | HONDA &gt;&gt; 43022SF1000 | HONDA &gt;&gt; 43022SD2930 | HONDA &gt;&gt; 43022SD2A01 | HONDA &gt;&gt; 43022SF0505 | HONDA &gt;&gt; 43022SD2A00 | HONDA &gt;&gt; 43022S04030 | HONDA &gt;&gt; 43022S04E00 | HONDA &gt;&gt; 43022SAAJ50 | HONDA &gt;&gt; 43022SD2505 | HONDA &gt;&gt; 43022S04E01 | MG &gt;&gt; GBP90347 | MG &gt;&gt; EJP1437 | ROVER &gt;&gt; GBP90347AF | ROVER &gt;&gt; GBP90347 | ROVER &gt;&gt; GBP90316AF | ROVER &gt;&gt; GBP90316 | ROVER &gt;&gt; EJP1437 | LOTUS &gt;&gt; GBP90316 | SPIDAN &gt;&gt; 32870 | SPIDAN &gt;&gt; 31105 | HELLA &gt;&gt; 8DB355017151 | HELLA &gt;&gt; 8DB355005731 | ATE &gt;&gt; 13046059982 | ATE &gt;&gt; 13046057312 | PAGID &gt;&gt; T3107 | PAGID &gt;&gt; T0034 | VALEO &gt;&gt; 597056 | VALEO &gt;&gt; 598053 | VALEO &gt;&gt; 598437 | VALEO &gt;&gt; 551695 | RUVILLE &gt;&gt; D56474430 | BOSCH &gt;&gt; 0986505729 | BOSCH &gt;&gt; 0986495256 | BOSCH &gt;&gt; 0986494392 | BOSCH &gt;&gt; 0986494128 | BOSCH &gt;&gt; 0986461131 | BOSCH &gt;&gt; 0986TB2181 | BOSCH &gt;&gt; F03B150024 | BOSCH &gt;&gt; 0986TB2120 | BOSCH &gt;&gt; F026000120 | BOSCH &gt;&gt; 0986AB3779 | BOSCH &gt;&gt; 0986AB2667 | BOSCH &gt;&gt; 986461131 | BOSCH &gt;&gt; 0986AB2169 | BOSCH &gt;&gt; 0986AB2033 | LEMFORDER &gt;&gt; 26260 | LEMFORDER &gt;&gt; 26178 | TEXTAR &gt;&gt; 2173804 | TEXTAR &gt;&gt; 2173801 | TEXTAR &gt;&gt; 2131213005 | TEXTAR &gt;&gt; 2131201 | JURID &gt;&gt; 572473J | JURID &gt;&gt; 572137J | JURID &gt;&gt; 572136J | JURID &gt;&gt; 571977D | JURID &gt;&gt; 572135J | JURID &gt;&gt; 571977J | BENDIX &gt;&gt; 572137B | BENDIX &gt;&gt; 572136B | BENDIX &gt;&gt; 571977X | BENDIX &gt;&gt; 571977B | FTE &gt;&gt; BL1544A2 | FTE &gt;&gt; BL1288A2 | HERTH+BUSS JAKOPARTS &gt;&gt; J3614004 | QUINTON HAZELL &gt;&gt; BP836 | QUINTON HAZELL &gt;&gt; BP448 | QUINTON HAZELL &gt;&gt; BP330 | QUINTON HAZELL &gt;&gt; BLF836 | QUINTON HAZELL &gt;&gt; BLF448 | FERODO &gt;&gt; TAR621 | FERODO &gt;&gt; FSL621 | FERODO &gt;&gt; FDB621 | BREMBO &gt;&gt; P28017 | MINTEX &gt;&gt; MDK0073 | MINTEX &gt;&gt; MDK0054 | MINTEX &gt;&gt; MDB1411 | MINTEX &gt;&gt; MDB1616 | MINTEX &gt;&gt; MDB1360 | PEX &gt;&gt; 7134 | PEX &gt;&gt; 7374 | ZIMMERMANN &gt;&gt; 217381301 | ZIMMERMANN &gt;&gt; 217191501 | ZIMMERMANN &gt;&gt; 213121302 | DELPHI &gt;&gt; LP625 | DELPHI &gt;&gt; LP0625 | DELPHI &gt;&gt; LP404 | METZGER &gt;&gt; 023352 | METZGER &gt;&gt; 023302 | MAGNETI MARELLI &gt;&gt; 363702160965 | MAGNETI MARELLI &gt;&gt; 363702160861 | ROULUNDS RUBBER &gt;&gt; 620381 | ROULUNDS RUBBER &gt;&gt; 456381 | FEBI BILSTEIN &gt;&gt; 16309 | TRISCAN &gt;&gt; 811040003 | TRISCAN &gt;&gt; 811040978 | TRISCAN &gt;&gt; 811040925 | TRISCAN &gt;&gt; 811010014 | METELLI &gt;&gt; 2201730 | METELLI &gt;&gt; 2201701 | METELLI &gt;&gt; 2201690 | NK &gt;&gt; 229972 | NK &gt;&gt; 222646 | OPTIMAL &gt;&gt; 9572 | OPTIMAL &gt;&gt; 9375 | MAPCO &gt;&gt; 6530 | MEYLE &gt;&gt; 0252173813W | MEYLE &gt;&gt; 0252131313W | KBP &gt;&gt; BP2029 | REMSA &gt;&gt; 32532 | REMSA &gt;&gt; 23302 | REMSA &gt;&gt; 23300 | REMSA &gt;&gt; 023302 | JAPANPARTS &gt;&gt; PP402AF | JAPANPARTS &gt;&gt; PP404AF | ICER &gt;&gt; 180600 | ICER &gt;&gt; 181024 | ICER &gt;&gt; 180752701 | ICER &gt;&gt; 180752 | RAMEDER &gt;&gt; T0610582 | QH Benelux &gt;&gt; 2802 | QH Benelux &gt;&gt; 2727 | QH Benelux &gt;&gt; 2638 | QH Benelux &gt;&gt; 2403 | A.B.S. &gt;&gt; 36636OE | A.B.S. &gt;&gt; 36636 | LPR &gt;&gt; 05P506 | LPR &gt;&gt; 05P1425 | LPR &gt;&gt; 05P507 | TRUSTING &gt;&gt; 1760 | TRUSTING &gt;&gt; 1731 | TRW &gt;&gt; GDB499 | SWAG &gt;&gt; 85916309 | ACDelco &gt;&gt; AC620381D | ACDelco &gt;&gt; AC456381D | SCT Germany &gt;&gt; SP195 | MK Kashiyama &gt;&gt; D5042M | ASHIKA &gt;&gt; 5104404 | ASHIKA &gt;&gt; 5104402 | NECTO &gt;&gt; FD6458N | NECTO &gt;&gt; FD6458A | NIPPARTS &gt;&gt; J3614004 | MGA &gt;&gt; 305 | MGA &gt;&gt; 492 | APEC braking &gt;&gt; PAD611 | GIRLING &gt;&gt; 6104999 | KAWE &gt;&gt; 80756 | KAWE &gt;&gt; 80695 | fri.tech. &gt;&gt; 1760 | fri.tech. &gt;&gt; 1731 | sbs &gt;&gt; 229972 | E.T.F. &gt;&gt; 120530 | E.T.F. &gt;&gt; 120396 | WOKING &gt;&gt; P333302 | WOKING &gt;&gt; P333300 | BLUE PRINT &gt;&gt; ADH24254 | HERZOG GERMANY &gt;&gt; 886636 | FIRST LINE &gt;&gt; FBP3283 | FIRST LINE &gt;&gt; FBP3146 | DITAS &gt;&gt; DFB5273 | DITAS &gt;&gt; DFB5215</t>
  </si>
  <si>
    <t>for manufacturer,  &gt;&gt; AKEBONO |  &gt;&gt; with acoustic wear warning | Height, mm &gt;&gt; 53 | Length, mm &gt;&gt; 129 | Thickness/Strength, mm &gt;&gt; 17,5</t>
  </si>
  <si>
    <t>HONDA &gt;&gt; 45022SD4000 | HONDA &gt;&gt; 45022SD4J00 | HONDA &gt;&gt; 45022SF9515 | HONDA &gt;&gt; 45022SG0010 | HONDA &gt;&gt; 45022SG0020 | HONDA &gt;&gt; 45022SF9525 | HONDA &gt;&gt; 45022SG0000 | HONDA &gt;&gt; 45022SE0508 | HONDA &gt;&gt; 45022SE0528 | HONDA &gt;&gt; 45022SF9305 | HONDA &gt;&gt; 45022SF9505 | HONDA &gt;&gt; 45022SE0518 | HONDA &gt;&gt; 45022SG0305 | HONDA &gt;&gt; 45022SK7000 | HONDA &gt;&gt; 45022SD4A12HS | HONDA &gt;&gt; 45022SD4E00 | HONDA &gt;&gt; 45022SR3N30 | HONDA &gt;&gt; 45022SD4A13 | HONDA &gt;&gt; 45022SR3N31 | HONDA &gt;&gt; 45022SD4A11 | HONDA &gt;&gt; 45022SK7506 | HONDA &gt;&gt; 45022SD4A11HS | HONDA &gt;&gt; 45022SK7526 | HONDA &gt;&gt; 45022SK7516 | HONDA &gt;&gt; 45022SK7010 | HONDA &gt;&gt; 45022SG0315 | HONDA &gt;&gt; 45022SD4507 | HONDA &gt;&gt; 45022SD4525 | HONDA &gt;&gt; 45022SD4528 | HONDA &gt;&gt; 45022SG0J00 | HONDA &gt;&gt; 45022SG0G11 | HONDA &gt;&gt; 45022SG0527 | HONDA &gt;&gt; 45022SD4515 | HONDA &gt;&gt; 45022SG0G10 | HONDA &gt;&gt; 45022SD4020 | HONDA &gt;&gt; 45022SG0505 | HONDA &gt;&gt; 45022SD4505 | HONDA &gt;&gt; 45022SG0517 | HONDA &gt;&gt; 45022SG0506 | HONDA &gt;&gt; 45022SG0325 | ACURA &gt;&gt; 45022SG0020 | ACURA &gt;&gt; 45022SG0010 | ACURA &gt;&gt; 45022SG0000 | ACURA &gt;&gt; 45022SE0528 | ACURA &gt;&gt; 45022SD4E00 | ACURA &gt;&gt; 45022SD4A13 | ACURA &gt;&gt; 45022SR3N31 | ACURA &gt;&gt; 45022SK7526 | ACURA &gt;&gt; 45022SD4A11 | ACURA &gt;&gt; 45022SK7010 | ACURA &gt;&gt; 45022SD4528 | ACURA &gt;&gt; 45022SK7000 | ACURA &gt;&gt; 45022SG0G11 | ACURA &gt;&gt; 45022SG0G10 | ACURA &gt;&gt; 45022SG0527 | ACURA &gt;&gt; 45022SG0517 | ACURA &gt;&gt; 45022SG0325 | ACURA &gt;&gt; 45022SD4020 | ACURA &gt;&gt; 45022SG0315 | SPIDAN &gt;&gt; 31742 | SPIDAN &gt;&gt; 31446 | HELLA &gt;&gt; 8DB355006301 | HELLA &gt;&gt; 8DB355016631 | ATE &gt;&gt; 13046059222 | PAGID &gt;&gt; T0370 | VALEO &gt;&gt; 598190 | VALEO &gt;&gt; 551610 | BOSCH &gt;&gt; 0986TB2124 | BOSCH &gt;&gt; 986424260 | BOSCH &gt;&gt; 0986461125 | BOSCH &gt;&gt; 0986424260 | LEMFORDER &gt;&gt; 26254 | TEXTAR &gt;&gt; 2144617505 | TEXTAR &gt;&gt; 2144601 | JURID &gt;&gt; 572309J | BENDIX &gt;&gt; 572309B | FTE &gt;&gt; BL1321A2 | HERTH+BUSS JAKOPARTS &gt;&gt; J3604026 | QUINTON HAZELL &gt;&gt; BP380 | QUINTON HAZELL &gt;&gt; BP548 | QUINTON HAZELL &gt;&gt; BLF636 | QUINTON HAZELL &gt;&gt; BLF548 | FERODO &gt;&gt; FDB748 | FERODO &gt;&gt; TAR748 | BREMBO &gt;&gt; P28014 | BREMBO &gt;&gt; P28013 | MINTEX &gt;&gt; MDB1589 | PEX &gt;&gt; 7196 | ZIMMERMANN &gt;&gt; 214461751 | DELPHI &gt;&gt; LP665 | DELPHI &gt;&gt; LP0559 | MAGNETI MARELLI &gt;&gt; 363702160888 | MAGNETI MARELLI &gt;&gt; 363702160738 | ROULUNDS RUBBER &gt;&gt; 472681 | TRISCAN &gt;&gt; 811010974 | NK &gt;&gt; 222618 | NK &gt;&gt; 222612 | OPTIMAL &gt;&gt; 9652 | MAPCO &gt;&gt; 6328 | KBP &gt;&gt; BP2021 | REMSA &gt;&gt; 40602 | REMSA &gt;&gt; 32302 | REMSA &gt;&gt; 25001 | REMSA &gt;&gt; 23702 | REMSA &gt;&gt; 032302 | JAPANPARTS &gt;&gt; PA426AF | ICER &gt;&gt; 180962 | ICER &gt;&gt; 180704 | RAMEDER &gt;&gt; T0610568 | QH Benelux &gt;&gt; 2726 | A.B.S. &gt;&gt; 36639 | LPR &gt;&gt; 05P339 | LPR &gt;&gt; 05P080 | LPR &gt;&gt; 05P555 | TRW &gt;&gt; GDB3034 | ACDelco &gt;&gt; AC472681D | MK Kashiyama &gt;&gt; D5050M | ASHIKA &gt;&gt; 5004426 | NECTO &gt;&gt; FD6535A | NIPPARTS &gt;&gt; J360426 | NIPPARTS &gt;&gt; J3604026 | MGA &gt;&gt; 413 | APEC braking &gt;&gt; PAD704 | GIRLING &gt;&gt; 6130349 | KAWE &gt;&gt; 80945 | sbs &gt;&gt; 222618 | sbs &gt;&gt; 222612 | E.T.F. &gt;&gt; 120480 | E.T.F. &gt;&gt; 120371 | WOKING &gt;&gt; P223302 | WOKING &gt;&gt; P337302 | BLUE PRINT &gt;&gt; ADH24227AF | FIRST LINE &gt;&gt; FBP1366</t>
  </si>
  <si>
    <t>RAICAM</t>
  </si>
  <si>
    <t>Number of Wear Indicators, Per axle &gt;&gt; 2 | Fitting Position,  &gt;&gt; Rear Axle | Brake System,  &gt;&gt; AKE | Thickness/Strength, mm &gt;&gt; 35,3 | Width, mm &gt;&gt; 88,8 | for Art.No.,  &gt;&gt; 453.0 | Thickness/Strength, mm &gt;&gt; 13 | Appr. stamp,  &gt;&gt; E1</t>
  </si>
  <si>
    <t>HONDA &gt;&gt; 43022SE0930 | HONDA &gt;&gt; 43022SE0931 | HONDA &gt;&gt; 43022SE0N50 | HONDA &gt;&gt; 43022SH3305 | ROVER &gt;&gt; GBP316AF | ATE &gt;&gt; 605998 | ATE &gt;&gt; 13046059982 | PAGID &gt;&gt; T0034 | LUCAS ELECTRICAL &gt;&gt; GDB0499 | VALEO &gt;&gt; 551728 | BOSCH &gt;&gt; BP582 | BOSCH &gt;&gt; 986461131 | BOSCH &gt;&gt; 0986461131 | TEXTAR &gt;&gt; 2131201 | JURID &gt;&gt; 572137J | JURID &gt;&gt; 572136J | JURID &gt;&gt; 572135J | BENDIX &gt;&gt; 572135B | BENDIX &gt;&gt; 572136B | BENDIX &gt;&gt; 572136 | FTE &gt;&gt; BL1291A2 | FTE &gt;&gt; BL1288A2 | QUINTON HAZELL &gt;&gt; BP448 | QUINTON HAZELL &gt;&gt; QFD7448AF | FERODO &gt;&gt; FDB472 | FERODO &gt;&gt; FDB0472 | FERODO &gt;&gt; FDB621 | BREMBO &gt;&gt; P28017 | HERTH+BUSS ELPARTS &gt;&gt; J3614004 | HERTH+BUSS ELPARTS &gt;&gt; J3614003 | HERTH+BUSS ELPARTS &gt;&gt; J3614002 | MINTEX &gt;&gt; MDB2191 | MINTEX &gt;&gt; MDB1411 | MAGNETI MARELLI &gt;&gt; T0034MM | ROULUNDS RUBBER &gt;&gt; 456381 | ROADHOUSE &gt;&gt; 223300 | REMSA &gt;&gt; 23300 | ICER &gt;&gt; 180752 | AUGROS &gt;&gt; 55585210 | TRW &gt;&gt; GDB499 | HAVAM &gt;&gt; 2638 | FMSI-VERBAND &gt;&gt; D3397233 | APEC braking &gt;&gt; PAD611 | VEMA &gt;&gt; 834530</t>
  </si>
  <si>
    <t>Appr. stamp,  &gt;&gt; E1 | Number of Wear Indicators, Per axle &gt;&gt; 2 | Fitting Position,  &gt;&gt; Rear Axle | Brake System,  &gt;&gt; AKE | Thickness/Strength, mm &gt;&gt; 35,3 | Width, mm &gt;&gt; 88,8 | for Art.No.,  &gt;&gt; RA.0453.0 | Thickness/Strength, mm &gt;&gt; 13</t>
  </si>
  <si>
    <t>Fitting Position,  &gt;&gt; Rear Axle | Thickness/Strength, mm &gt;&gt; 12,5 | Length, mm &gt;&gt; 88,7 | Width, mm &gt;&gt; 35 |  &gt;&gt; excl. wear warning contact</t>
  </si>
  <si>
    <t>TEXTAR &gt;&gt; 2131212505 | QUINTON HAZELL &gt;&gt; BP470 | BORG &amp; BECK &gt;&gt; BBP1237 | DELPHI &gt;&gt; LP562 | ROULUNDS RUBBER &gt;&gt; 422881 | REMSA &gt;&gt; 23302 | REMSA &gt;&gt; 023302 | REMSA &gt;&gt; 23300 | ICER &gt;&gt; 180751 | QH Benelux &gt;&gt; 2508 | LPR &gt;&gt; 05P072 | FMSI-VERBAND &gt;&gt; 7233D339 | NIPPARTS &gt;&gt; J3614002 | APEC braking &gt;&gt; PAD587 | EFI &gt;&gt; EDB472 | BLUE PRINT &gt;&gt; ADH24209 | SOLID AUTO (UK) &gt;&gt; H104011 | FIRST LINE &gt;&gt; FBP1394 | MOTAQUIP &gt;&gt; LVXL469 | JURATEK &gt;&gt; JCP472 | LUCAS &gt;&gt; GDB775 | CHASE &gt;&gt; P236</t>
  </si>
  <si>
    <t>HONDA &gt;&gt; 43022SD2505 | HONDA &gt;&gt; 43022SE7930 | HONDA &gt;&gt; 43022SH3507 | HONDA &gt;&gt; 43022SH3931 | HONDA &gt;&gt; 43022SH3932 | HONDA &gt;&gt; 43022SH3527 | HONDA &gt;&gt; 43022SEON50 | HONDA &gt;&gt; 43022SF1525 | HONDA &gt;&gt; 43022SF1800 | HONDA &gt;&gt; 43022SH3G01 | HONDA &gt;&gt; 43022SE0526 | HONDA &gt;&gt; 43022SE0931 | HONDA &gt;&gt; 43022SE0S00 | HONDA &gt;&gt; 43022SE0930 | HONDA &gt;&gt; 43022SH3N30 | HONDA &gt;&gt; 43022SE0500 | HONDA &gt;&gt; 43022SE0525 | HONDA &gt;&gt; 43022SD2930 | HONDA &gt;&gt; 43022SR3030 | LEMFORDER &gt;&gt; 26178 | JURID &gt;&gt; 572135J | BENDIX &gt;&gt; 572135B | QUINTON HAZELL &gt;&gt; BP470 | FERODO &gt;&gt; FSL472 | FERODO &gt;&gt; FDB472 | MINTEX &gt;&gt; MDB1360 | ZIMMERMANN &gt;&gt; 213121301 | DELPHI &gt;&gt; LP1456 | MAGNETI MARELLI &gt;&gt; 363702160913 | MAGNETI MARELLI &gt;&gt; 363702000000 | FEBI BILSTEIN &gt;&gt; 16309 | TRISCAN &gt;&gt; 811040925 | METELLI &gt;&gt; 2201700 | OPTIMAL &gt;&gt; 9462 | ROADHOUSE &gt;&gt; 223300 | REMSA &gt;&gt; 023300 | A.B.S. &gt;&gt; 36619 | LPR &gt;&gt; 05P072 | TRUSTING &gt;&gt; 1730 | KAVO PARTS &gt;&gt; KBP2029 | MOPROD &gt;&gt; MBP448 | TRW &gt;&gt; GDB775 | SWAG &gt;&gt; 85916309 | ACDelco &gt;&gt; AC422881D | ACDelco &gt;&gt; AC058928D | NIPPARTS &gt;&gt; J3614002 | Brake ENGINEERING &gt;&gt; PA491 | APEC braking &gt;&gt; PAD811 | GIRLING &gt;&gt; 6107759 | KAWE &gt;&gt; 023300 | fri.tech. &gt;&gt; 173 | fri.tech. &gt;&gt; 1730 | CIFAM &gt;&gt; 8221700 | WOKING &gt;&gt; P333300 | SIMER &gt;&gt; 477 | BLUE PRINT &gt;&gt; ADH24219 | ASHUKI &gt;&gt; H02513J</t>
  </si>
  <si>
    <t>Fitting Position,  &gt;&gt; Rear Axle | Thickness/Strength, mm &gt;&gt; 12,5 | Length, mm &gt;&gt; 88,7 | Width, mm &gt;&gt; 35 |  &gt;&gt; with acoustic wear warning</t>
  </si>
  <si>
    <t>HONDA &gt;&gt; 06022SP8000 | HONDA &gt;&gt; 43022SE0931 | HONDA &gt;&gt; 43022SF1010 | HONDA &gt;&gt; 43022SF1515 | HONDA &gt;&gt; 43022SF1525 | HONDA &gt;&gt; 43022SF1505 | HONDA &gt;&gt; 43022SE0N50 | HONDA &gt;&gt; 43022SE0S00 | HONDA &gt;&gt; 43022SF1000 | HONDA &gt;&gt; 43022SF1S00 | HONDA &gt;&gt; 43022SE0506 | HONDA &gt;&gt; 43022SE0526 | HONDA &gt;&gt; 43022SE0930 | HONDA &gt;&gt; 43022ST3E00 | HONDA &gt;&gt; 43022ST3E50HE | HONDA &gt;&gt; 43022SK3E00 | HONDA &gt;&gt; 43022SE0525 | HONDA &gt;&gt; 43022SR3010 | HONDA &gt;&gt; 43022SR3000 | HONDA &gt;&gt; 43022SK7000 | HONDA &gt;&gt; 43022SF1S01 | HONDA &gt;&gt; 43022SD2307 | HONDA &gt;&gt; 43022SD2930 | HONDA &gt;&gt; 43022SH3J00 | HONDA &gt;&gt; 43022SH3G01 | HONDA &gt;&gt; 43022SH3932 | HONDA &gt;&gt; 43022SH3G00 | HONDA &gt;&gt; 43022SH3305 | HONDA &gt;&gt; 43022SH3931 | MG &gt;&gt; GBP90347AF | ROVER &gt;&gt; EJP1437 | ROVER &gt;&gt; GBP90316 | ROVER &gt;&gt; GBP90316AF | ATE &gt;&gt; 13046059982 | PAGID &gt;&gt; T0034 | BOSCH &gt;&gt; 0986461131 | TEXTAR &gt;&gt; 2131212505 | BENDIX &gt;&gt; 572137B | BENDIX &gt;&gt; 572136B | QUINTON HAZELL &gt;&gt; BP836 | QUINTON HAZELL &gt;&gt; BP448 | FERODO &gt;&gt; FSL621 | FERODO &gt;&gt; FDB621 | MINTEX &gt;&gt; MDB1411 | BORG &amp; BECK &gt;&gt; BBP1526 | DELPHI &gt;&gt; LP625 | ROULUNDS RUBBER &gt;&gt; 456381 | NK &gt;&gt; 229972 | OPTIMAL &gt;&gt; 9572 | ROADHOUSE &gt;&gt; 223302 | REMSA &gt;&gt; 023302 | JAPANPARTS &gt;&gt; PP404AF | ICER &gt;&gt; 180752 | ICER &gt;&gt; 180704 | QH Benelux &gt;&gt; 2638 | QH Benelux &gt;&gt; 2727 | NATIONAL &gt;&gt; NP2279 | A.B.S. &gt;&gt; 36636 | LPR &gt;&gt; 05P507 | LPR &gt;&gt; 05P506 | TRUSTING &gt;&gt; 1731 | KAVO PARTS &gt;&gt; BP2029 | MOPROD &gt;&gt; MBP836 | TRW &gt;&gt; GDB499 | FMSI-VERBAND &gt;&gt; 7233D374 | ACDelco &gt;&gt; AC456381D | ACDelco &gt;&gt; AC058507D | NIPPARTS &gt;&gt; J3614004 | Brake ENGINEERING &gt;&gt; PA545 | APEC braking &gt;&gt; PAD688 | APEC braking &gt;&gt; PAD611 | EFI &gt;&gt; EDB621 | E.T.F. &gt;&gt; 120396 | DEX &gt;&gt; 21731 | BLUE PRINT &gt;&gt; ADH24254 | BLUE PRINT &gt;&gt; ADH24228 | SOLID AUTO (UK) &gt;&gt; H104019 | FIRST LINE &gt;&gt; FBP3146 | MOTAQUIP &gt;&gt; LVXL533 | JURATEK &gt;&gt; JCP621 | LUCAS &gt;&gt; GDB499 | CHASE &gt;&gt; P677 | KEY PARTS &gt;&gt; KBP1526</t>
  </si>
  <si>
    <t>TEXTAR &gt;&gt; 2131212505 | QUINTON HAZELL &gt;&gt; BP470 | MINTEX &gt;&gt; MDB1360 | BORG &amp; BECK &gt;&gt; BBP1237 | DELPHI &gt;&gt; LP562 | ROULUNDS RUBBER &gt;&gt; 422881 | REMSA &gt;&gt; 23302 | REMSA &gt;&gt; 023302 | REMSA &gt;&gt; 23300 | ICER &gt;&gt; 180751 | QH Benelux &gt;&gt; 2508 | LPR &gt;&gt; 05P072 | FMSI-VERBAND &gt;&gt; 7233D339 | NIPPARTS &gt;&gt; J3614002 | APEC braking &gt;&gt; PAD587 | EFI &gt;&gt; EDB472 | BLUE PRINT &gt;&gt; ADH24209 | SOLID AUTO (UK) &gt;&gt; H104011 | FIRST LINE &gt;&gt; FBP1394 | MOTAQUIP &gt;&gt; LVXL469 | JURATEK &gt;&gt; JCP472 | LUCAS &gt;&gt; GDB775 | CHASE &gt;&gt; P236</t>
  </si>
  <si>
    <t>HONDA &gt;&gt; 43022SH3527 | HONDA &gt;&gt; 43022SE0930 | HONDA &gt;&gt; 43022SEON50 | HONDA &gt;&gt; 43022SF1800 | HONDA &gt;&gt; 43022SH3507 | HONDA &gt;&gt; 43022SF1525 | HONDA &gt;&gt; 43022SE0931 | HONDA &gt;&gt; 43022SE0S00 | HONDA &gt;&gt; 43022SE7930 | HONDA &gt;&gt; 43022SH3931 | HONDA &gt;&gt; 43022SD2930 | HONDA &gt;&gt; 43022SE0525 | HONDA &gt;&gt; 43022SE0526 | HONDA &gt;&gt; 43022SE0500 | HONDA &gt;&gt; 43022SH3932 | HONDA &gt;&gt; 43022SH3N30 | HONDA &gt;&gt; 43022SD2505 | HONDA &gt;&gt; 43022SR3030 | HONDA &gt;&gt; 43022SH3G01 | LEMFORDER &gt;&gt; 26178 | JURID &gt;&gt; 572135J | BENDIX &gt;&gt; 572135B | QUINTON HAZELL &gt;&gt; BP470 | FERODO &gt;&gt; FDB472 | FERODO &gt;&gt; FSL472 | MINTEX &gt;&gt; MDB1360 | ZIMMERMANN &gt;&gt; 213121301 | DELPHI &gt;&gt; LP1456 | MAGNETI MARELLI &gt;&gt; 363702160913 | MAGNETI MARELLI &gt;&gt; 363702000000 | FEBI BILSTEIN &gt;&gt; 16309 | TRISCAN &gt;&gt; 811040925 | METELLI &gt;&gt; 2201700 | OPTIMAL &gt;&gt; 9462 | ROADHOUSE &gt;&gt; 223300 | ROADHOUSE &gt;&gt; 2233 | REMSA &gt;&gt; 233 | REMSA &gt;&gt; 023300 | A.B.S. &gt;&gt; 36619 | LPR &gt;&gt; 05P072 | TRUSTING &gt;&gt; 173 | TRUSTING &gt;&gt; 1730 | KAVO PARTS &gt;&gt; KBP2029 | MOPROD &gt;&gt; MBP448 | TRW &gt;&gt; GDB775 | SWAG &gt;&gt; 85916309 | ACDelco &gt;&gt; AC422881D | ACDelco &gt;&gt; AC058928D | NIPPARTS &gt;&gt; J3614002 | Brake ENGINEERING &gt;&gt; PA491 | APEC braking &gt;&gt; PAD811 | GIRLING &gt;&gt; 6107759 | KAWE &gt;&gt; 023300 | fri.tech. &gt;&gt; 173 | fri.tech. &gt;&gt; 1730 | CIFAM &gt;&gt; 8221700 | WOKING &gt;&gt; P333300 | SIMER &gt;&gt; 477 | BLUE PRINT &gt;&gt; ADH24219 | ASHUKI &gt;&gt; H02513J</t>
  </si>
  <si>
    <t>HONDA &gt;&gt; 43022SF1S00 | HONDA &gt;&gt; 06022SP8000 | HONDA &gt;&gt; 43022SF1010 | HONDA &gt;&gt; 43022SF1515 | HONDA &gt;&gt; 43022SF1525 | HONDA &gt;&gt; 43022SF1505 | HONDA &gt;&gt; 43022SE0931 | HONDA &gt;&gt; 43022SE0S00 | HONDA &gt;&gt; 43022SF1000 | HONDA &gt;&gt; 43022SE0N50 | HONDA &gt;&gt; 43022SF1S01 | HONDA &gt;&gt; 43022SE0506 | HONDA &gt;&gt; 43022SE0526 | HONDA &gt;&gt; 43022SE0930 | HONDA &gt;&gt; 43022ST3E00 | HONDA &gt;&gt; 43022ST3E50HE | HONDA &gt;&gt; 43022SK3E00 | HONDA &gt;&gt; 43022SE0525 | HONDA &gt;&gt; 43022SR3010 | HONDA &gt;&gt; 43022SR3000 | HONDA &gt;&gt; 43022SK7000 | HONDA &gt;&gt; 43022SH3305 | HONDA &gt;&gt; 43022SD2307 | HONDA &gt;&gt; 43022SD2930 | HONDA &gt;&gt; 43022SH3J00 | HONDA &gt;&gt; 43022SH3G01 | HONDA &gt;&gt; 43022SH3932 | HONDA &gt;&gt; 43022SH3G00 | HONDA &gt;&gt; 43022SH3931 | MG &gt;&gt; GBP90347AF | ROVER &gt;&gt; EJP1437 | ROVER &gt;&gt; GBP90316 | ROVER &gt;&gt; GBP90316AF | ATE &gt;&gt; 13046059982 | PAGID &gt;&gt; T0034 | BOSCH &gt;&gt; 0986461131 | TEXTAR &gt;&gt; 2131212505 | BENDIX &gt;&gt; 572137B | BENDIX &gt;&gt; 572136B | QUINTON HAZELL &gt;&gt; BP836 | QUINTON HAZELL &gt;&gt; BP448 | FERODO &gt;&gt; FSL621 | FERODO &gt;&gt; FDB621 | MINTEX &gt;&gt; MDB1411 | BORG &amp; BECK &gt;&gt; BBP1526 | DELPHI &gt;&gt; LP625 | ROULUNDS RUBBER &gt;&gt; 456381 | NK &gt;&gt; 229972 | OPTIMAL &gt;&gt; 9572 | REMSA &gt;&gt; 23302 | JAPANPARTS &gt;&gt; PP404AF | ICER &gt;&gt; 180752 | ICER &gt;&gt; 180704 | QH Benelux &gt;&gt; 2638 | QH Benelux &gt;&gt; 2727 | NATIONAL &gt;&gt; NP2279 | A.B.S. &gt;&gt; 36636 | LPR &gt;&gt; 05P507 | LPR &gt;&gt; 05P506 | TRUSTING &gt;&gt; 1731 | KAVO PARTS &gt;&gt; BP2029 | MOPROD &gt;&gt; MBP836 | TRW &gt;&gt; GDB499 | FMSI-VERBAND &gt;&gt; 7233D374 | ACDelco &gt;&gt; AC456381D | ACDelco &gt;&gt; AC058507D | NIPPARTS &gt;&gt; J3614004 | Brake ENGINEERING &gt;&gt; PA545 | APEC braking &gt;&gt; PAD688 | APEC braking &gt;&gt; PAD611 | EFI &gt;&gt; EDB621 | E.T.F. &gt;&gt; 120396 | DEX &gt;&gt; 21731 | BLUE PRINT &gt;&gt; ADH24254 | BLUE PRINT &gt;&gt; ADH24228 | SOLID AUTO (UK) &gt;&gt; H104019 | FIRST LINE &gt;&gt; FBP3146 | MOTAQUIP &gt;&gt; LVXL533 | JURATEK &gt;&gt; JCP621 | LUCAS &gt;&gt; GDB499 | CHASE &gt;&gt; P677 | KEY PARTS &gt;&gt; KBP1526</t>
  </si>
  <si>
    <t>Fitting Position,  &gt;&gt; Front Axle | Thickness/Strength, mm &gt;&gt; 15 | Height, mm &gt;&gt; 47,5 | Weight, kg &gt;&gt; 1,226 | Length, mm &gt;&gt; 127,8 | Quantity required,  &gt;&gt; 1</t>
  </si>
  <si>
    <t>HONDA &gt;&gt; 45022SD2506 | HONDA &gt;&gt; 31277SPIDAN | HONDA &gt;&gt; 36615ABS | HONDA &gt;&gt; 0986460936BOSCH | HONDA &gt;&gt; 2009901TEXTAR | HONDA &gt;&gt; 45022SD2505 | HONDA &gt;&gt; 450225B2780 | HONDA &gt;&gt; 45022SB2780 | HONDA &gt;&gt; 597070VALEO | HONDA &gt;&gt; 36616OEABS | HONDA &gt;&gt; 598047VALEO | HONDA &gt;&gt; 36616ABS | HONDA &gt;&gt; 598248VALEO | HONDA &gt;&gt; 5004424ASHIKA | HONDA &gt;&gt; 168420VALEO | HONDA &gt;&gt; 597022VALEO | HONDA &gt;&gt; 597028VALEO | HONDA &gt;&gt; PA424AFJAPANPARTS | HONDA &gt;&gt; 32130SPIDAN | HONDA &gt;&gt; TAR454FERODOBERAL | HONDA &gt;&gt; 45022SD2509 | HONDA &gt;&gt; 45022SE0517 | HONDA &gt;&gt; 45022SE0G00 | HONDA &gt;&gt; 45022SE1A13 | HONDA &gt;&gt; 45022SH3G10 | HONDA &gt;&gt; 4502SE0003 | HONDA &gt;&gt; LP721DELPHI | HONDA &gt;&gt; 45022SEO912 | HONDA &gt;&gt; J3604018HBJAKOPA | HONDA &gt;&gt; 45022SE1910 | HONDA &gt;&gt; 45022SE1911 | HONDA &gt;&gt; LP525DELPHI | HONDA &gt;&gt; 45022SE1505 | HONDA &gt;&gt; 45022SE0527 | HONDA &gt;&gt; 45022SE0931 | HONDA &gt;&gt; 45022SE0A00 | HONDA &gt;&gt; 45022SE0A01 | HONDA &gt;&gt; 45022SE0932 | HONDA &gt;&gt; GDB7139TRW | HONDA &gt;&gt; 45022SE0911 | HONDA &gt;&gt; 45022SE0912 | HONDA &gt;&gt; GDB925TRW | HONDA &gt;&gt; GDB784TRW | HONDA &gt;&gt; 2009902TEXTAR | HONDA &gt;&gt; 0252010414WMEYLE | HONDA &gt;&gt; 0986AB2658BOSCH | HONDA &gt;&gt; 45022SE0507 | HONDA &gt;&gt; 45022SE0509 | HONDA &gt;&gt; FDB454FERODOBERAL | HONDA &gt;&gt; 45022SE0505 | HONDA &gt;&gt; 0986AB2652BOSCH | HONDA &gt;&gt; 45022SE0325 | HONDA &gt;&gt; 45022SE0408 | HONDA &gt;&gt; BP2020KBP | HONDA &gt;&gt; 45022SE0315 | HONDA &gt;&gt; 45022SE0316 | HONDA &gt;&gt; BP2016KBP | HONDA &gt;&gt; BP2008KBP | HONDA &gt;&gt; 45022SD2528 | HONDA &gt;&gt; 45022SD2A10 | HONDA &gt;&gt; 45022SD2A12 | HONDA &gt;&gt; 45022SD2A13 | HONDA &gt;&gt; 45022SD2A11 | HONDA &gt;&gt; 45022SD2A03 | MAZDA &gt;&gt; V9118H010 | MITSUBISHI &gt;&gt; 45022SB2780 | SPIDAN &gt;&gt; 32130 | SPIDAN &gt;&gt; 31277 | SPIDAN &gt;&gt; 31046 | HELLA &gt;&gt; 8DB355006261 | ATE &gt;&gt; 13046059182 | PAGID &gt;&gt; T0365 | VALEO &gt;&gt; 597070 | BOSCH &gt;&gt; 0986460936 | BOSCH &gt;&gt; 0986TB2117 | BOSCH &gt;&gt; 0986AB2652 | BOSCH &gt;&gt; 0986460972 | LEMFORDER &gt;&gt; 26256 | TEXTAR &gt;&gt; 2009901 | TEXTAR &gt;&gt; 2133001 | TEXTAR &gt;&gt; 2009902 | JURID &gt;&gt; 572288J | JURID &gt;&gt; 572287J | JURID &gt;&gt; 572284J | BENDIX &gt;&gt; 572288 | BENDIX &gt;&gt; 572288B | BENDIX &gt;&gt; 572287B | HERTH+BUSS JAKOPARTS &gt;&gt; J3604018 | QUINTON HAZELL &gt;&gt; MBP549 | QUINTON HAZELL &gt;&gt; BP549 | QUINTON HAZELL &gt;&gt; BP425 | QUINTON HAZELL &gt;&gt; BLF425 | FERODO &gt;&gt; FDB708 | FERODO &gt;&gt; FDB454 | BREMBO &gt;&gt; P28018 | BREMBO &gt;&gt; P28010 | MINTEX &gt;&gt; MDB1586 | MINTEX &gt;&gt; MDB1431 | MINTEX &gt;&gt; MDB1344 | PEX &gt;&gt; 7325 | PEX &gt;&gt; 7315 | PEX &gt;&gt; 7264 | BORG &amp; BECK &gt;&gt; BBP1299 | BORG &amp; BECK &gt;&gt; BBP1249 | BORG &amp; BECK &gt;&gt; BBP1176 | ZIMMERMANN &gt;&gt; 213301501 | DELPHI &gt;&gt; LP721 | DELPHI &gt;&gt; LP525 | DELPHI &gt;&gt; LP403 | MAGNETI MARELLI &gt;&gt; 363702160984 | MAGNETI MARELLI &gt;&gt; 363702160918 | MAGNETI MARELLI &gt;&gt; 363702160904 | ROULUNDS RUBBER &gt;&gt; 620881 | ROULUNDS RUBBER &gt;&gt; 496881 | TRISCAN &gt;&gt; 811040853 | METELLI &gt;&gt; 2203830 | NK &gt;&gt; 222616 | NK &gt;&gt; 222607 | OPTIMAL &gt;&gt; 9515 | OPTIMAL &gt;&gt; 9457 | OPTIMAL &gt;&gt; 9374 | MEYLE &gt;&gt; 0252010414W | KBP &gt;&gt; BP2008 | ROADHOUSE &gt;&gt; 222802 | ROADHOUSE &gt;&gt; 222800 | ROADHOUSE &gt;&gt; 218202 | REMSA &gt;&gt; 022800 | REMSA &gt;&gt; 022802 | REMSA &gt;&gt; 22802 | REMSA &gt;&gt; 018202 | JAPANPARTS &gt;&gt; PA442AF | JAPANPARTS &gt;&gt; PA424AF | JAPANPARTS &gt;&gt; PA423AF | ICER &gt;&gt; 180750 | ICER &gt;&gt; 180749 | QH Benelux &gt;&gt; 2489 | QH Benelux &gt;&gt; HP2489 | A.B.S. &gt;&gt; 36615 | LPR &gt;&gt; 05P552 | LPR &gt;&gt; 05P083 | LPR &gt;&gt; 05P073 | TRUSTING &gt;&gt; 3920 | TRUSTING &gt;&gt; 2461 | KAVO PARTS &gt;&gt; KBP2024 | KAVO PARTS &gt;&gt; KBP2020 | KAVO PARTS &gt;&gt; BP2020 | KAVO PARTS &gt;&gt; BP2014 | KAVO PARTS &gt;&gt; BP2008 | UNIPART &gt;&gt; GBP708AF | TRW &gt;&gt; GDB925 | TRW &gt;&gt; GDB784 | TRW &gt;&gt; GDB764 | ACDelco &gt;&gt; AC496881D | ACDelco &gt;&gt; AC620881D | MK Kashiyama &gt;&gt; D5039 | ASHIKA &gt;&gt; 5004442 | ASHIKA &gt;&gt; 5004424 | NECTO &gt;&gt; FD6290 | NIPPARTS &gt;&gt; J3604027 | NIPPARTS &gt;&gt; J3604018 | Brake ENGINEERING &gt;&gt; PA463 | Brake ENGINEERING &gt;&gt; PA369 | APEC braking &gt;&gt; PAD502 | APEC braking &gt;&gt; PAD830 | APEC braking &gt;&gt; PAD450 | FREMAX &gt;&gt; FBP071401 | GIRLING &gt;&gt; 6109259 | GIRLING &gt;&gt; 6107849 | GIRLING &gt;&gt; 6107649 | KAWE &gt;&gt; 022802 | KAWE &gt;&gt; 018202 | KAWE &gt;&gt; 022800 | sbs &gt;&gt; 1501222607 | E.T.F. &gt;&gt; 120406 | E.T.F. &gt;&gt; 120349 | CIFAM &gt;&gt; 8223830 | WOKING &gt;&gt; P328302 | WOKING &gt;&gt; P082302 | VILLAR &gt;&gt; 6260073 | SIMER &gt;&gt; 6611 | SIMER &gt;&gt; 661 | BLUE PRINT &gt;&gt; ADH24221AF | BLUE PRINT &gt;&gt; ADH24221 | BLUE PRINT &gt;&gt; ADH24216AF | BLUE PRINT &gt;&gt; ADH24216 | SOLID AUTO (UK) &gt;&gt; H104016 | NPS &gt;&gt; H360A33 | NPS &gt;&gt; H360A40 | NPS &gt;&gt; H360A18 | ASHUKI &gt;&gt; 10808104 | IPS Parts &gt;&gt; IBD1418 | VEMA &gt;&gt; 837530 | JAPKO &gt;&gt; 50442 | JAPKO &gt;&gt; 50424 | ABE &gt;&gt; C24002ABE | KAISHIN &gt;&gt; D5022 | QH Talbros &gt;&gt; BP425</t>
  </si>
  <si>
    <t>for Art.No.,  &gt;&gt; 626.0073 | Brake System,  &gt;&gt; Akebono | Thickness/Strength, mm &gt;&gt; 15 | Width, mm &gt;&gt; 127,5 | Height, mm &gt;&gt; 48,4 |  &gt;&gt; with acoustic wear warning | WVA Number,  &gt;&gt; 20099-20104-20108</t>
  </si>
  <si>
    <t>HONDA &gt;&gt; 45022SD2519 | HONDA &gt;&gt; 45022SD2506 | HONDA &gt;&gt; 45022SD2509 | HONDA &gt;&gt; 45022SD2518 | HONDA &gt;&gt; 45022SE0505 | HONDA &gt;&gt; 45022SE0325 | HONDA &gt;&gt; 45022SE0315 | HONDA &gt;&gt; 45022SE0316 | HONDA &gt;&gt; 45022SD2A11 | HONDA &gt;&gt; 45022SD2508 | HONDA &gt;&gt; 45022SE0306 | HONDA &gt;&gt; 45022SD2A13 | HONDA &gt;&gt; 45022SD2A12 | HONDA &gt;&gt; 45022SE0507 | HONDA &gt;&gt; 45022SB2780 | HONDA &gt;&gt; 45022SD2505 | HONDA &gt;&gt; 45022SD2A10 | HONDA &gt;&gt; 45022SD2A03 | HONDA &gt;&gt; 45022SEOA01 | HONDA &gt;&gt; 45022SE1911 | HONDA &gt;&gt; 45022SD2A01 | HONDA &gt;&gt; 45022SD2A02 | HONDA &gt;&gt; 45022SE1910 | HONDA &gt;&gt; 45022SE1505 | HONDA &gt;&gt; 45022SE0A00 | HONDA &gt;&gt; 45022SE0A01 | HONDA &gt;&gt; 45022SE0517 | HONDA &gt;&gt; 45022SD2529 | HONDA &gt;&gt; 45022SD2A00 | HONDA &gt;&gt; 45022SE0932 | HONDA &gt;&gt; 45022SE0931 | HONDA &gt;&gt; 45022SE0912 | HONDA &gt;&gt; 45022SE0930 | HONDA &gt;&gt; 45022SD2528 | HONDA &gt;&gt; 45022SE0527 | HONDA &gt;&gt; 45022SE0911 | ATE &gt;&gt; 605918 | ATE &gt;&gt; 13046059182 | PAGID &gt;&gt; T0365 | VALEO &gt;&gt; 551610 | VALEO &gt;&gt; 540438 | VALEO &gt;&gt; 168420 | BOSCH &gt;&gt; BP506 | BOSCH &gt;&gt; 0986460936 | TEXTAR &gt;&gt; 2009902 | TEXTAR &gt;&gt; TX0223 | JURID &gt;&gt; 572288J | JURID &gt;&gt; 572287J | BENDIX &gt;&gt; DB429 | BENDIX &gt;&gt; 572288B | BENDIX &gt;&gt; 572287B | FTE &gt;&gt; BL1021A2 | HERTH+BUSS JAKOPARTS &gt;&gt; J3604024 | HERTH+BUSS JAKOPARTS &gt;&gt; J3604018 | QUINTON HAZELL &gt;&gt; BP425 | FERODO &gt;&gt; FDB454 | BREMBO &gt;&gt; P28010 | MINTEX &gt;&gt; MDB1586 | MINTEX &gt;&gt; MDB1344 | DELPHI &gt;&gt; LP721 | DELPHI &gt;&gt; LP525 | MAGNETI MARELLI &gt;&gt; T0365MM | OPTIMAL &gt;&gt; 9515 | QH Benelux &gt;&gt; 2525 | QH Benelux &gt;&gt; 2489 | A.B.S. &gt;&gt; 36615 | AUGROS &gt;&gt; 55585145 | TRW &gt;&gt; GDB784 | TRW &gt;&gt; GDB925 | AKEBONO &gt;&gt; AN211WK | RHIAG &gt;&gt; 09976 | APEC braking &gt;&gt; PAD450 | HELLA PAGID &gt;&gt; 8DB355006261 | HELLA PAGID &gt;&gt; 355006261 | BLUE PRINT &gt;&gt; ADH24216</t>
  </si>
  <si>
    <t>for Art.No.,  &gt;&gt; 626.0506 | Brake System,  &gt;&gt; Akebono | Thickness/Strength, mm &gt;&gt; 13 | Width, mm &gt;&gt; 88,8 | Height, mm &gt;&gt; 35,1 |  &gt;&gt; with acoustic wear warning | WVA Number,  &gt;&gt; 21312-21313-21314</t>
  </si>
  <si>
    <t>HONDA &gt;&gt; 06022SP8000 | HONDA &gt;&gt; 43022SE0N50 | HONDA &gt;&gt; 43022SF1505 | HONDA &gt;&gt; 43022SF1525 | HONDA &gt;&gt; 43022SF1S00 | HONDA &gt;&gt; 43022SF1515 | HONDA &gt;&gt; 43022SE0S00 | HONDA &gt;&gt; 43022SF1000 | HONDA &gt;&gt; 43022SF1010 | HONDA &gt;&gt; 43022SD2307 | HONDA &gt;&gt; 43022SE0525 | HONDA &gt;&gt; 43022SE0930 | HONDA &gt;&gt; 43022SE0931 | HONDA &gt;&gt; 43022ST3E50HE | HONDA &gt;&gt; 43022SR3506 | HONDA &gt;&gt; 43022ST3E00 | HONDA &gt;&gt; 43022SK7000 | HONDA &gt;&gt; 43022SE0526 | HONDA &gt;&gt; 43022SR3030 | HONDA &gt;&gt; 43022SR3010 | HONDA &gt;&gt; 43022SR3000 | HONDA &gt;&gt; 43022SF1S01 | HONDA &gt;&gt; 43022SD2930 | HONDA &gt;&gt; 43022SE0506 | HONDA &gt;&gt; 43022SK3E00 | HONDA &gt;&gt; 43022SH3J00 | HONDA &gt;&gt; 43022SH3G00 | HONDA &gt;&gt; 43022SH3G01 | HONDA &gt;&gt; 43022SH3305 | HONDA &gt;&gt; 43022SD2505 | HONDA &gt;&gt; 43022SH3932 | HONDA &gt;&gt; 43022SH3931 | MG &gt;&gt; GBP90347AF | OPEL &gt;&gt; 1605731 | ROVER &gt;&gt; GBP90316AF | ROVER &gt;&gt; GBP90316 | ROVER &gt;&gt; EJP1437 | VAUXHALL &gt;&gt; 90297552 | ATE &gt;&gt; 605998 | ATE &gt;&gt; 13046059982 | PAGID &gt;&gt; T0034 | VALEO &gt;&gt; 598053 | VALEO &gt;&gt; 551728 | BOSCH &gt;&gt; 986461131 | BOSCH &gt;&gt; 0986461131 | BOSCH &gt;&gt; BP582 | TEXTAR &gt;&gt; 2131201 | TEXTAR &gt;&gt; TX0175 | JURID &gt;&gt; 572137J | JURID &gt;&gt; 572136J | JURID &gt;&gt; 572135J | JURID &gt;&gt; 571977J | BENDIX &gt;&gt; 572136B | BENDIX &gt;&gt; 572135B | BENDIX &gt;&gt; DB1195 | BENDIX &gt;&gt; DB1163 | FTE &gt;&gt; BL1288A2 | HERTH+BUSS JAKOPARTS &gt;&gt; J3614004 | HERTH+BUSS JAKOPARTS &gt;&gt; J3614002 | HERTH+BUSS JAKOPARTS &gt;&gt; J3614003 | QUINTON HAZELL &gt;&gt; BP470 | QUINTON HAZELL &gt;&gt; BP448 | FERODO &gt;&gt; FDB621 | FERODO &gt;&gt; FDB472 | BREMBO &gt;&gt; P28011 | BREMBO &gt;&gt; P28017 | MINTEX &gt;&gt; MDB1411 | DELPHI &gt;&gt; LP772 | DELPHI &gt;&gt; LP625 | DELPHI &gt;&gt; LP562 | MAGNETI MARELLI &gt;&gt; T0034MM | ROULUNDS RUBBER &gt;&gt; 456381 | NK &gt;&gt; 229972 | NK &gt;&gt; 222608 | OPTIMAL &gt;&gt; 9572 | ROADHOUSE &gt;&gt; 223312 | ROADHOUSE &gt;&gt; 223302 | REMSA &gt;&gt; 023302 | QH Benelux &gt;&gt; 2638 | A.B.S. &gt;&gt; 36636 | AUGROS &gt;&gt; 55585210 | TRW &gt;&gt; GDB499 | AKEBONO &gt;&gt; AN265WK | AKEBONO &gt;&gt; AN207K | MGA &gt;&gt; 305 | MGA &gt;&gt; 492 | RHIAG &gt;&gt; 13524 | APEC braking &gt;&gt; PAD811 | APEC braking &gt;&gt; PAD611 | COBREQ &gt;&gt; N1458 | HELLA PAGID &gt;&gt; 8DB355005731 | HELLA PAGID &gt;&gt; 355005731 | GIRLING &gt;&gt; 6104999 | BLUE PRINT &gt;&gt; ADH24254 | WAGNER &gt;&gt; WBP21312A</t>
  </si>
  <si>
    <t>Fitting Position,  &gt;&gt; Front Axle | Length, mm &gt;&gt; 129 | Width, mm &gt;&gt; 53 | Thickness/Strength, mm &gt;&gt; 17,5 | Weight, kg &gt;&gt; 1.610 | Axle Vers.,  &gt;&gt; Anteriore/Front | Brake System,  &gt;&gt; Akebono | WVA Number,  &gt;&gt; 21448 17,3 | Number of Wear Indicators, Per axle &gt;&gt; 2</t>
  </si>
  <si>
    <t>HONDA &gt;&gt; 45022SD4A13 | HONDA &gt;&gt; 45022SG0G10 | HONDA &gt;&gt; 45022SG0G11 | ATE &gt;&gt; 13046059222 | PAGID &gt;&gt; T0370 | BOSCH &gt;&gt; 0986424260 | JURID &gt;&gt; 572309J | BENDIX &gt;&gt; 572309B | FTE &gt;&gt; BL1321F2 | QUINTON HAZELL &gt;&gt; BP548 | FERODO &gt;&gt; FDB748 | BREMBO &gt;&gt; P28013 | MINTEX &gt;&gt; MDB1589 | DELPHI &gt;&gt; LP665 | METELLI &gt;&gt; 2201710 | ROADHOUSE &gt;&gt; 232302 | REMSA &gt;&gt; 032302 | JAPANPARTS &gt;&gt; PA440AF | ICER &gt;&gt; 180962 | LPR &gt;&gt; 05P555 | TRUSTING &gt;&gt; 1740 | TRW &gt;&gt; GDB3034 | FMSI-VERBAND &gt;&gt; D4097235 | ASHIKA &gt;&gt; 5004440 | NIPPARTS &gt;&gt; J3604026 | KAGER &gt;&gt; 350288 | GIRLING &gt;&gt; 6130349 | fri.tech. &gt;&gt; 1740 | E.T.F. &gt;&gt; 120480 | CIFAM &gt;&gt; 8221710 | SIMER &gt;&gt; P1114 | RAICAM &gt;&gt; 14550</t>
  </si>
  <si>
    <t>Fitting Position,  &gt;&gt; Front Axle | Length, mm &gt;&gt; 128 | Width, mm &gt;&gt; 48,5 | Thickness/Strength, mm &gt;&gt; 15 | Weight, kg &gt;&gt; 1.367 | Axle Vers.,  &gt;&gt; Anteriore/Front | Brake System,  &gt;&gt; Akebono | WVA Number,  &gt;&gt; 20099 15,0 | Number of Wear Indicators, Per axle &gt;&gt; 2</t>
  </si>
  <si>
    <t>HONDA &gt;&gt; 45022SD2A13 | HONDA &gt;&gt; 45022SE0912 | ATE &gt;&gt; 13046059182 | PAGID &gt;&gt; T0365 | BOSCH &gt;&gt; 0986460936 | JURID &gt;&gt; 572288J | BENDIX &gt;&gt; 572288B | FTE &gt;&gt; BL1021F2 | QUINTON HAZELL &gt;&gt; BP425 | FERODO &gt;&gt; FDB454 | BREMBO &gt;&gt; P28010 | MINTEX &gt;&gt; MDB1344 | DELPHI &gt;&gt; LP525 | METELLI &gt;&gt; 2202371 | MEYLE &gt;&gt; 0252010414W | ROADHOUSE &gt;&gt; 222802 | REMSA &gt;&gt; 022802 | P.B.R. &gt;&gt; DB429 | JAPANPARTS &gt;&gt; PA418AF | ICER &gt;&gt; 180750 | A.B.S. &gt;&gt; 36615 | LPR &gt;&gt; 05P073 | TRUSTING &gt;&gt; 2461 | TRW &gt;&gt; GDB925 | FMSI-VERBAND &gt;&gt; D3347229 | ROULUNDS BRAKING &gt;&gt; 496881 | ASHIKA &gt;&gt; 5004418 | NECTO &gt;&gt; FD6290 | NIPPARTS &gt;&gt; J3604018 | APEC braking &gt;&gt; PAD502 | EFI &gt;&gt; EDB454 | GIRLING &gt;&gt; 6109259 | fri.tech. &gt;&gt; 2461 | E.T.F. &gt;&gt; 120349 | CIFAM &gt;&gt; 8222371 | SIMER &gt;&gt; P0374 | FIRST LINE &gt;&gt; FBP1418 | MAFIX &gt;&gt; PL201</t>
  </si>
  <si>
    <t>DITAS</t>
  </si>
  <si>
    <t>Parameter,  &gt;&gt; DIPAR | for manufacturer,  &gt;&gt; akebono | Thickness/Strength, mm &gt;&gt; 13 | Length, mm &gt;&gt; 88,8 | Height, mm &gt;&gt; 35,3 |  &gt;&gt; incl. wear warning contact</t>
  </si>
  <si>
    <t>HONDA &gt;&gt; 06430SAAJ50 | HONDA &gt;&gt; 06022SP8000 | HONDA &gt;&gt; 43022SF1315 | HONDA &gt;&gt; 43022SF1800 | HONDA &gt;&gt; 43022SF1S01 | HONDA &gt;&gt; 43022SK7000 | HONDA &gt;&gt; 43022SF1S00 | HONDA &gt;&gt; 43022SF1505 | HONDA &gt;&gt; 43022SF1515 | HONDA &gt;&gt; 43022SF1525 | HONDA &gt;&gt; 43022S04030 | HONDA &gt;&gt; 43022SAAJ50 | HONDA &gt;&gt; 43022SF1010 | HONDA &gt;&gt; 43022SF1305 | HONDA &gt;&gt; 43022SF1000 | HONDA &gt;&gt; 43022S04E00 | HONDA &gt;&gt; 43022S04E01 | HONDA &gt;&gt; 43022S04E03 | HONDA &gt;&gt; 43022SR2000 | HONDA &gt;&gt; 5860051480 | HONDA &gt;&gt; 5860051490 | HONDA &gt;&gt; 43022S04010 | HONDA &gt;&gt; 43022S04020 | HONDA &gt;&gt; 43022S04000 | HONDA &gt;&gt; 5860091630 | HONDA &gt;&gt; 5860095750 | HONDA &gt;&gt; 43022SR2010 | HONDA &gt;&gt; 43022ST7000 | HONDA &gt;&gt; 43022ST7A00 | HONDA &gt;&gt; 43022SR3000 | HONDA &gt;&gt; 43022SR3020 | HONDA &gt;&gt; 43022ST3E00 | HONDA &gt;&gt; 43022ST3E01 | HONDA &gt;&gt; 43022SR3030 | HONDA &gt;&gt; 43022SR3010 | MG &gt;&gt; GBP90347 | NISSAN &gt;&gt; AY060HN002 | ROVER &gt;&gt; EJP1437 | ROVER &gt;&gt; GBP90347AF | ROVER &gt;&gt; GBP90347 | ROVER &gt;&gt; GBP90316AF | ROVER &gt;&gt; GBP90316 | LOTUS &gt;&gt; GBP90316 | SPIDAN &gt;&gt; 32870 | SPIDAN &gt;&gt; 31105 | ATE &gt;&gt; 13046059982 | PAGID &gt;&gt; T3107 | PAGID &gt;&gt; T0034 | VALEO &gt;&gt; 598437 | VALEO &gt;&gt; 598053 | VALEO &gt;&gt; 597056 | VALEO &gt;&gt; 551695 | BOSCH &gt;&gt; 986461131 | BOSCH &gt;&gt; 0986461131 | LEMFORDER &gt;&gt; 26260 | LEMFORDER &gt;&gt; 26178 | TEXTAR &gt;&gt; 2173801 | TEXTAR &gt;&gt; 2131213005 | TEXTAR &gt;&gt; 2131201 | JURID &gt;&gt; 572136J | JURID &gt;&gt; 572137J | JURID &gt;&gt; 571977D | JURID &gt;&gt; 571977J | BENDIX &gt;&gt; DB1163 | BENDIX &gt;&gt; 572137B | BENDIX &gt;&gt; 572136B | BENDIX &gt;&gt; 571977X | BENDIX &gt;&gt; 571977B | FTE &gt;&gt; BL1544A2 | FTE &gt;&gt; BL1288A2 | HERTH+BUSS JAKOPARTS &gt;&gt; J3614004 | QUINTON HAZELL &gt;&gt; BP836 | QUINTON HAZELL &gt;&gt; BP330 | QUINTON HAZELL &gt;&gt; BP448 | QUINTON HAZELL &gt;&gt; BLF836 | QUINTON HAZELL &gt;&gt; BLF448 | FERODO &gt;&gt; TAR621 | FERODO &gt;&gt; FSL621 | FERODO &gt;&gt; FDB621 | BREMBO &gt;&gt; P28017 | MINTEX &gt;&gt; MDK0054 | MINTEX &gt;&gt; MDK0073 | MINTEX &gt;&gt; MDB1411 | MINTEX &gt;&gt; MDB1616 | MINTEX &gt;&gt; MDB1360 | PEX &gt;&gt; 7374 | PEX &gt;&gt; 7134 | ZIMMERMANN &gt;&gt; 217191501 | ZIMMERMANN &gt;&gt; 213121302 | DELPHI &gt;&gt; LP625 | DELPHI &gt;&gt; LP0625 | DELPHI &gt;&gt; LP404 | METZGER &gt;&gt; 023302 | METZGER &gt;&gt; 023352 | MAGNETI MARELLI &gt;&gt; 363702160965 | MAGNETI MARELLI &gt;&gt; 363702160861 | ROULUNDS RUBBER &gt;&gt; 620381 | ROULUNDS RUBBER &gt;&gt; 456381 | FEBI BILSTEIN &gt;&gt; 16309 | TRISCAN &gt;&gt; 811040978 | TRISCAN &gt;&gt; 811040003 | TRISCAN &gt;&gt; 811040925 | TRISCAN &gt;&gt; 811010014 | METELLI &gt;&gt; 2201730 | METELLI &gt;&gt; 2201701 | METELLI &gt;&gt; 2201690 | NK &gt;&gt; 229972 | OPTIMAL &gt;&gt; 9572 | OPTIMAL &gt;&gt; 9375 | MAPCO &gt;&gt; 6530 | KBP &gt;&gt; BP2029 | JAPANPARTS &gt;&gt; PP402AF | JAPANPARTS &gt;&gt; PP404AF | ICER &gt;&gt; 181024 | ICER &gt;&gt; 180752701 | ICER &gt;&gt; 180752 | ICER &gt;&gt; 180600 | RAMEDER &gt;&gt; T0610582 | QH Benelux &gt;&gt; 2802 | QH Benelux &gt;&gt; 2727 | QH Benelux &gt;&gt; 2638 | QH Benelux &gt;&gt; 2403 | A.B.S. &gt;&gt; 36636OE | A.B.S. &gt;&gt; 36636 | TRUSTING &gt;&gt; 1731 | TRUSTING &gt;&gt; 1760 | TRW &gt;&gt; GDB499 | SWAG &gt;&gt; 85916309 | ACDelco &gt;&gt; AC620381D | ACDelco &gt;&gt; AC456381D | SCT Germany &gt;&gt; SP195 | ASHIKA &gt;&gt; 5104404 | ASHIKA &gt;&gt; 5104402 | NECTO &gt;&gt; FD6458A | NECTO &gt;&gt; FD6458N | NIPPARTS &gt;&gt; J3614004 | MGA &gt;&gt; 305 | MGA &gt;&gt; 492 | Brake ENGINEERING &gt;&gt; PA545 | GIRLING &gt;&gt; 6104999 | KAWE &gt;&gt; 80756 | KAWE &gt;&gt; 80695 | fri.tech. &gt;&gt; 1731 | fri.tech. &gt;&gt; 1760 | sbs &gt;&gt; 229972 | sbs &gt;&gt; 1501229972 | E.T.F. &gt;&gt; 120396 | E.T.F. &gt;&gt; 120530 | WOKING &gt;&gt; P333302 | WOKING &gt;&gt; P333300 | VANLEO &gt;&gt; 598437 | VANLEO &gt;&gt; 598053 | VANLEO &gt;&gt; 597056 | VANLEO &gt;&gt; 551695</t>
  </si>
  <si>
    <t>WEEN</t>
  </si>
  <si>
    <t>for manufacturer,  &gt;&gt; AKEBONO | Thickness/Strength, mm &gt;&gt; 12,8 | Length, mm &gt;&gt; 89 | Height, mm &gt;&gt; 35 |  &gt;&gt; with acoustic wear warning | Number of Wear Indicators, Per axle &gt;&gt; 2</t>
  </si>
  <si>
    <t>HONDA &gt;&gt; 06430SAAJ50 | HONDA &gt;&gt; 06022SP8000 | HONDA &gt;&gt; 43022SF1515 | HONDA &gt;&gt; 43022SF1S01 | HONDA &gt;&gt; 43022SR2000 | HONDA &gt;&gt; 43022SR2010 | HONDA &gt;&gt; 43022SK7000 | HONDA &gt;&gt; 43022SF1525 | HONDA &gt;&gt; 43022SF1800 | HONDA &gt;&gt; 43022SF1S00 | HONDA &gt;&gt; 43022SAAJ50 | HONDA &gt;&gt; 43022SF1010 | HONDA &gt;&gt; 43022SF1315 | HONDA &gt;&gt; 43022SF1505 | HONDA &gt;&gt; 43022SF1305 | HONDA &gt;&gt; 43022SD2505 | HONDA &gt;&gt; 43022SF0505 | HONDA &gt;&gt; 43022SF1000 | HONDA &gt;&gt; 43022SR3000 | HONDA &gt;&gt; 43022S04000 | HONDA &gt;&gt; 43022S04030 | HONDA &gt;&gt; 43022S04E01 | HONDA &gt;&gt; 43022S04E03 | HONDA &gt;&gt; 5860095750 | HONDA &gt;&gt; 43022S04E00 | HONDA &gt;&gt; 43022S04010 | HONDA &gt;&gt; 5860051480 | HONDA &gt;&gt; 43022S04020 | HONDA &gt;&gt; 5860091630 | HONDA &gt;&gt; 5860051490 | HONDA &gt;&gt; 43022SR3010 | HONDA &gt;&gt; 43022SR3020 | HONDA &gt;&gt; 43022ST3E00 | HONDA &gt;&gt; 43022ST7000 | HONDA &gt;&gt; 43022ST7A00 | HONDA &gt;&gt; 43022ST3E01 | HONDA &gt;&gt; 43022SR3030 | MG &gt;&gt; GBP90347 | NISSAN &gt;&gt; AY060HN002 | ROVER &gt;&gt; GBP90316AF | ROVER &gt;&gt; GBP90316 | ROVER &gt;&gt; EJP1437 | ROVER &gt;&gt; GBP90347AF | ROVER &gt;&gt; GBP90347 | LOTUS &gt;&gt; GBP90316 | SPIDAN &gt;&gt; 32870 | SPIDAN &gt;&gt; 31105 | ATE &gt;&gt; 13046059982 | PAGID &gt;&gt; T3107 | PAGID &gt;&gt; T0034 | VALEO &gt;&gt; 598437 | VALEO &gt;&gt; 598053 | VALEO &gt;&gt; 597056 | VALEO &gt;&gt; 551695 | BOSCH &gt;&gt; 986461131 | BOSCH &gt;&gt; 0986461131 | LEMFORDER &gt;&gt; 26260 | LEMFORDER &gt;&gt; 26178 | TEXTAR &gt;&gt; 2173801 | TEXTAR &gt;&gt; 2131213005 | TEXTAR &gt;&gt; 2131201 | JURID &gt;&gt; 572137J | JURID &gt;&gt; 572136J | JURID &gt;&gt; 571977D | JURID &gt;&gt; 571977J | BENDIX &gt;&gt; 572137B | BENDIX &gt;&gt; 571977X | BENDIX &gt;&gt; 572136B | BENDIX &gt;&gt; 571977B | FTE &gt;&gt; BL1288A2 | FTE &gt;&gt; BL1544A2 | HERTH+BUSS JAKOPARTS &gt;&gt; J3614004 | QUINTON HAZELL &gt;&gt; BP836 | QUINTON HAZELL &gt;&gt; BP448 | QUINTON HAZELL &gt;&gt; BP330 | QUINTON HAZELL &gt;&gt; BLF448 | QUINTON HAZELL &gt;&gt; BLF836 | FERODO &gt;&gt; FSL621 | FERODO &gt;&gt; FDB621 | FERODO &gt;&gt; TAR621 | BREMBO &gt;&gt; P28017 | MINTEX &gt;&gt; MDK0073 | MINTEX &gt;&gt; MDK0054 | MINTEX &gt;&gt; MDB1411 | MINTEX &gt;&gt; MDB1616 | MINTEX &gt;&gt; MDB1360 | PEX &gt;&gt; 7374 | PEX &gt;&gt; 7134 | ZIMMERMANN &gt;&gt; 217191501 | ZIMMERMANN &gt;&gt; 213121302 | DELPHI &gt;&gt; LP625 | DELPHI &gt;&gt; LP0625 | DELPHI &gt;&gt; LP404 | METZGER &gt;&gt; 023352 | METZGER &gt;&gt; 023302 | MAGNETI MARELLI &gt;&gt; 363702160965 | MAGNETI MARELLI &gt;&gt; 363702160861 | ROULUNDS RUBBER &gt;&gt; 620381 | ROULUNDS RUBBER &gt;&gt; 456381 | FEBI BILSTEIN &gt;&gt; 16309 | TRISCAN &gt;&gt; 811040978 | TRISCAN &gt;&gt; 811040003 | TRISCAN &gt;&gt; 811040925 | TRISCAN &gt;&gt; 811010014 | METELLI &gt;&gt; 2201730 | METELLI &gt;&gt; 2201701 | METELLI &gt;&gt; 2201690 | NK &gt;&gt; 229972 | OPTIMAL &gt;&gt; 9572 | OPTIMAL &gt;&gt; 9375 | MAPCO &gt;&gt; 6530 | KBP &gt;&gt; BP2029 | JAPANPARTS &gt;&gt; PP404AF | JAPANPARTS &gt;&gt; PP402AF | ICER &gt;&gt; 180752 | ICER &gt;&gt; 180600 | ICER &gt;&gt; 181024 | ICER &gt;&gt; 180752701 | RAMEDER &gt;&gt; T0610582 | QH Benelux &gt;&gt; 2638 | QH Benelux &gt;&gt; 2403 | QH Benelux &gt;&gt; 2802 | QH Benelux &gt;&gt; 2727 | A.B.S. &gt;&gt; 36636OE | A.B.S. &gt;&gt; 36636 | TRUSTING &gt;&gt; 1760 | TRUSTING &gt;&gt; 1731 | TRW &gt;&gt; GDB499 | SWAG &gt;&gt; 85916309 | ACDelco &gt;&gt; AC456381D | ACDelco &gt;&gt; AC620381D | SCT Germany &gt;&gt; SP195 | ASHIKA &gt;&gt; 5104404 | ASHIKA &gt;&gt; 5104402 | NECTO &gt;&gt; FD6458N | NECTO &gt;&gt; FD6458A | NIPPARTS &gt;&gt; J3614004 | MGA &gt;&gt; 492 | MGA &gt;&gt; 305 | Brake ENGINEERING &gt;&gt; PA545 | APEC braking &gt;&gt; PAD611 | GIRLING &gt;&gt; 6104999 | KAWE &gt;&gt; 80756 | KAWE &gt;&gt; 80695 | fri.tech. &gt;&gt; 1760 | fri.tech. &gt;&gt; 1731 | sbs &gt;&gt; 229972 | E.T.F. &gt;&gt; 120530 | E.T.F. &gt;&gt; 120396 | WOKING &gt;&gt; P333302 | WOKING &gt;&gt; P333300 | BLUE PRINT &gt;&gt; ADH24254 | HERZOG GERMANY &gt;&gt; 886636</t>
  </si>
  <si>
    <t>for manufacturer,  &gt;&gt; AKEBONO | Thickness/Strength, mm &gt;&gt; 15 | Length, mm &gt;&gt; 128 | Height, mm &gt;&gt; 48,5 |  &gt;&gt; incl. wear warning contact | Quantity,  &gt;&gt; 4</t>
  </si>
  <si>
    <t>HONDA &gt;&gt; 45022SD2A12 | HONDA &gt;&gt; 45022SD2505 | HONDA &gt;&gt; 45022SD2A01 | HONDA &gt;&gt; 45022SD2A10 | HONDA &gt;&gt; 45022SD2A11 | HONDA &gt;&gt; 45022SD2A02 | HONDA &gt;&gt; 45022SD2506 | HONDA &gt;&gt; 45022SD2A13 | HONDA &gt;&gt; 45022SE0912 | HONDA &gt;&gt; 45022SH3G31 | ACURA &gt;&gt; 45022SH3G31 | SPIDAN &gt;&gt; 31100 | SPIDAN &gt;&gt; 31277 | ATE &gt;&gt; 13046059202 | ATE &gt;&gt; 13046059182 | PAGID &gt;&gt; T0012 | PAGID &gt;&gt; T0365 | VALEO &gt;&gt; 598248 | VALEO &gt;&gt; 597022 | VALEO &gt;&gt; 597070 | VALEO &gt;&gt; 598047 | VALEO &gt;&gt; 597028 | VALEO &gt;&gt; 168420 | BOSCH &gt;&gt; 986460936 | BOSCH &gt;&gt; 0986460972 | BOSCH &gt;&gt; 0986460936 | LEMFORDER &gt;&gt; 26256 | LEMFORDER &gt;&gt; 26179 | TEXTAR &gt;&gt; 2132201 | TEXTAR &gt;&gt; 2009915005 | TEXTAR &gt;&gt; 2009914005 | TEXTAR &gt;&gt; 2009902 | JURID &gt;&gt; 572330J | JURID &gt;&gt; 572329J | JURID &gt;&gt; 572288J | JURID &gt;&gt; 572287J | BENDIX &gt;&gt; 572330B | BENDIX &gt;&gt; 572329B | BENDIX &gt;&gt; 572288B | BENDIX &gt;&gt; 572287B | FTE &gt;&gt; BL1291A2 | HERTH+BUSS JAKOPARTS &gt;&gt; J3604023 | HERTH+BUSS JAKOPARTS &gt;&gt; J3604018 | QUINTON HAZELL &gt;&gt; BP550 | QUINTON HAZELL &gt;&gt; BP425 | QUINTON HAZELL &gt;&gt; BLF425 | FERODO &gt;&gt; TAR454 | FERODO &gt;&gt; FDB454 | BREMBO &gt;&gt; P28010 | MINTEX &gt;&gt; MDB1586 | MINTEX &gt;&gt; MDB1344 | MINTEX &gt;&gt; MDB1374 | PEX &gt;&gt; 7325 | PEX &gt;&gt; 7264 | PEX &gt;&gt; 7096 | DELPHI &gt;&gt; LP605 | DELPHI &gt;&gt; LP525 | METZGER &gt;&gt; 022902 | MAGNETI MARELLI &gt;&gt; 363702160984 | MAGNETI MARELLI &gt;&gt; 363702160918 | MAGNETI MARELLI &gt;&gt; 363702160903 | ROULUNDS RUBBER &gt;&gt; 496881 | TRISCAN &gt;&gt; 811040853 | NK &gt;&gt; 222607 | OPTIMAL &gt;&gt; 9571 | OPTIMAL &gt;&gt; 9457 | MAPCO &gt;&gt; 6434 | KBP &gt;&gt; BP2011 | KBP &gt;&gt; BP2008 | JAPANPARTS &gt;&gt; PA424AF | JAPANPARTS &gt;&gt; PA423AF | ICER &gt;&gt; 180755 | ICER &gt;&gt; 180750 | RAMEDER &gt;&gt; T0610494 | RAMEDER &gt;&gt; T0610432 | RAMEDER &gt;&gt; T0600071 | QH Benelux &gt;&gt; 2489 | A.B.S. &gt;&gt; 36615 | TRW &gt;&gt; GDB925 | ACDelco &gt;&gt; AC496881D | SCT Germany &gt;&gt; SP238 | ASHIKA &gt;&gt; 5004424 | ASHIKA &gt;&gt; 5004423 | NECTO &gt;&gt; FD6526N | NECTO &gt;&gt; FD6526A | NECTO &gt;&gt; FD6290A | NIPPARTS &gt;&gt; J3604023 | NIPPARTS &gt;&gt; J3604018 | Brake ENGINEERING &gt;&gt; PA463 | APEC braking &gt;&gt; PAD502 | GIRLING &gt;&gt; 6109259 | KAWE &gt;&gt; 80755 | sbs &gt;&gt; 222607 | E.T.F. &gt;&gt; 120479 | E.T.F. &gt;&gt; 120349 | WOKING &gt;&gt; P328302 | BLUE PRINT &gt;&gt; ADH24216</t>
  </si>
  <si>
    <t>for manufacturer,  &gt;&gt; AKEBONO | Thickness/Strength, mm &gt;&gt; 17,5 | Length, mm &gt;&gt; 129 | Height, mm &gt;&gt; 53 |  &gt;&gt; with acoustic wear warning | Quantity,  &gt;&gt; 4</t>
  </si>
  <si>
    <t>HONDA &gt;&gt; 45022SD4020 | HONDA &gt;&gt; 45022SD4A13 | HONDA &gt;&gt; 45022SG0G11 | HONDA &gt;&gt; 45022SR3N31 | HONDA &gt;&gt; 45022SD4E00 | HONDA &gt;&gt; 45022SG0G10 | ACURA &gt;&gt; 45022SR3N31 | ACURA &gt;&gt; 45022SD4E00 | SPIDAN &gt;&gt; 31446 | SPIDAN &gt;&gt; 31742 | ATE &gt;&gt; 13046059222 | PAGID &gt;&gt; T0370 | VALEO &gt;&gt; 598190 | VALEO &gt;&gt; 551610 | BOSCH &gt;&gt; 0986461125 | BOSCH &gt;&gt; 986424260 | BOSCH &gt;&gt; 0986424260 | LEMFORDER &gt;&gt; 26254 | TEXTAR &gt;&gt; 2144617505 | TEXTAR &gt;&gt; 2144601 | JURID &gt;&gt; 572309J | BENDIX &gt;&gt; 572309B | FTE &gt;&gt; BL1321A2 | HERTH+BUSS JAKOPARTS &gt;&gt; J3604026 | QUINTON HAZELL &gt;&gt; BLF636 | QUINTON HAZELL &gt;&gt; BP380 | QUINTON HAZELL &gt;&gt; BP548 | QUINTON HAZELL &gt;&gt; BLF548 | FERODO &gt;&gt; FDB748 | FERODO &gt;&gt; TAR748 | BREMBO &gt;&gt; P28014 | MINTEX &gt;&gt; MDB1589 | PEX &gt;&gt; 7196 | ZIMMERMANN &gt;&gt; 214461751 | DELPHI &gt;&gt; LP0559 | DELPHI &gt;&gt; LP665 | MAGNETI MARELLI &gt;&gt; 363702160888 | MAGNETI MARELLI &gt;&gt; 363702160738 | ROULUNDS RUBBER &gt;&gt; 472681 | TRISCAN &gt;&gt; 811010974 | NK &gt;&gt; 222618 | NK &gt;&gt; 222612 | OPTIMAL &gt;&gt; 9652 | MAPCO &gt;&gt; 6328 | KBP &gt;&gt; BP2021 | JAPANPARTS &gt;&gt; PA426AF | ICER &gt;&gt; 180962 | ICER &gt;&gt; 180704 | RAMEDER &gt;&gt; T0610568 | QH Benelux &gt;&gt; 2726 | A.B.S. &gt;&gt; 36639 | TRW &gt;&gt; GDB3034 | ACDelco &gt;&gt; AC472681D | ASHIKA &gt;&gt; 5004426 | NECTO &gt;&gt; FD6535A | NIPPARTS &gt;&gt; J3604026 | NIPPARTS &gt;&gt; J360426 | MGA &gt;&gt; 413 | APEC braking &gt;&gt; PAD704 | GIRLING &gt;&gt; 6130349 | KAWE &gt;&gt; 80945 | sbs &gt;&gt; 222618 | sbs &gt;&gt; 222612 | E.T.F. &gt;&gt; 120371 | E.T.F. &gt;&gt; 120480 | WOKING &gt;&gt; P337302 | WOKING &gt;&gt; P223302 | BLUE PRINT &gt;&gt; ADH24227AF</t>
  </si>
  <si>
    <t>Length, mm &gt;&gt; 129 | Thickness/Strength, mm &gt;&gt; 17,5 | Brake System,  &gt;&gt; Akebono | Width, mm &gt;&gt; 53 | Fitting Position,  &gt;&gt; Front Axle</t>
  </si>
  <si>
    <t>Parameter &gt;&gt; 90-90</t>
  </si>
  <si>
    <t>HONDA &gt;&gt; 45022SG0G10 | HONDA &gt;&gt; 45022SG0000 | HONDA &gt;&gt; 45022SG0315 | HONDA &gt;&gt; 45022SG0335 | HONDA &gt;&gt; 45022SG0517 | HONDA &gt;&gt; 45022SG0325 | HONDA &gt;&gt; 45022SG0010 | HONDA &gt;&gt; 45022SG0020 | HONDA &gt;&gt; 45022SG0G11 | HONDA &gt;&gt; 45022SD4020 | HONDA &gt;&gt; 45022SD4A13 | HONDA &gt;&gt; 45022SE0G10 | HONDA &gt;&gt; 45022SD4A11 | HONDA &gt;&gt; 45022SK7000 | HONDA &gt;&gt; 45022SK7010 | HONDA &gt;&gt; 45022S04A11 | HONDA &gt;&gt; 45022SR3N31 | ACURA &gt;&gt; 45022SG0010 | ACURA &gt;&gt; 45022SG0G10 | SPIDAN &gt;&gt; 31742 | ATE &gt;&gt; 605922 | ATE &gt;&gt; 13046059222 | PAGID &gt;&gt; T0370 | LUCAS ELECTRICAL &gt;&gt; GDB3034 | VALEO &gt;&gt; 551745 | BOSCH &gt;&gt; 0986424260 | TEXTAR &gt;&gt; 2144601 | TEXTAR &gt;&gt; 2144617505T4047 | JURID &gt;&gt; 572309 | BENDIX &gt;&gt; 572309 | FTE &gt;&gt; BL1321A2 | LOBRO &gt;&gt; 31742 | QUINTON HAZELL &gt;&gt; BP0548 | FERODO &gt;&gt; FDB748 | BREMBO &gt;&gt; P28013 | MINTEX &gt;&gt; MDB1589 | DELPHI &gt;&gt; LP665 | MAGNETI MARELLI &gt;&gt; BP0738 | ROULUNDS RUBBER &gt;&gt; 472681 | DOYEN &gt;&gt; GDB3034 | NK &gt;&gt; 222612 | OPTIMAL &gt;&gt; 9652 | OPTIMAL &gt;&gt; 09652 | ROADHOUSE &gt;&gt; 232302 | REMSA &gt;&gt; 232302 | REMSA &gt;&gt; 32302 | JAPANPARTS &gt;&gt; PA501AF | JAPANPARTS &gt;&gt; PA426AF | ICER &gt;&gt; 180962396 | ICER &gt;&gt; 180962 | QH Benelux &gt;&gt; 2726 | A.B.S. &gt;&gt; 36708 | MOPROD &gt;&gt; MDP1080 | TRW &gt;&gt; GDB3034 | AKEBONO &gt;&gt; A274WK | FMSI-VERBAND &gt;&gt; D04097445 | FMSI-VERBAND &gt;&gt; D04097235 | HP (ZEBRA) &gt;&gt; 2726 | MK Kashiyama &gt;&gt; D05050 | ASHIKA &gt;&gt; 5004426 | ASHIKA &gt;&gt; 5005501 | NECTO &gt;&gt; FD6535A | MGA &gt;&gt; MGA413 | GIRLING &gt;&gt; 6130349 | WOKING &gt;&gt; 223302 | SIMER &gt;&gt; 04311 | FREN-J &gt;&gt; 472681 | BLUE PRINT &gt;&gt; ADH24227 | IPS Parts &gt;&gt; IBD1440</t>
  </si>
  <si>
    <t>Width, mm &gt;&gt; 127,9 | Height, mm &gt;&gt; 47 | Thickness/Strength, mm &gt;&gt; 15 |  &gt;&gt; with acoustic wear warning | Brake System,  &gt;&gt; Akebono | Fitting Position,  &gt;&gt; Rear Axle</t>
  </si>
  <si>
    <t>HONDA &gt;&gt; 45022SD2A11 | HONDA &gt;&gt; 45022SE0A01 | HONDA &gt;&gt; 45022SD2506 | HONDA &gt;&gt; 45022SD2A10 | HONDA &gt;&gt; 45022SE0A10 | HONDA &gt;&gt; 45022SE0A11 | HONDA &gt;&gt; 45022SE0A12 | HONDA &gt;&gt; 45022SD2A12 | HONDA &gt;&gt; 45022SE0910 | HONDA &gt;&gt; 45022SE0912 | HONDA &gt;&gt; 45022SE0A00 | HONDA &gt;&gt; 45022SE0911 | HONDA &gt;&gt; 45022SD2A13 | HONDA &gt;&gt; 45022SE0505 | PAGID &gt;&gt; T0365 | LUCAS ELECTRICAL &gt;&gt; GDB925 | LUCAS ELECTRICAL &gt;&gt; GDB784 | VALEO &gt;&gt; 551610 | BOSCH &gt;&gt; 0986460936 | TEXTAR &gt;&gt; 2009902 | TEXTAR &gt;&gt; 2009901 | TEXTAR &gt;&gt; 2009915005 | TEXTAR &gt;&gt; 2009915004 | TEXTAR &gt;&gt; 2009914005 | JURID &gt;&gt; 572288J | JURID &gt;&gt; 572287J | BENDIX &gt;&gt; 572287B | BENDIX &gt;&gt; 572288B | FTE &gt;&gt; BL1021A2 | HERTH+BUSS JAKOPARTS &gt;&gt; J3604018 | QUINTON HAZELL &gt;&gt; BP425 | QUINTON HAZELL &gt;&gt; BLF425 | QUINTON HAZELL &gt;&gt; 022802 | FERODO &gt;&gt; TAR454 | FERODO &gt;&gt; FDB454 | FERODO &gt;&gt; FDB1353 | MINTEX &gt;&gt; MDB1344 | MINTEX &gt;&gt; MDB1586 | PEX &gt;&gt; 7325 | PEX &gt;&gt; 7264 | DELPHI &gt;&gt; LP525 | NK &gt;&gt; 222607 | ROADHOUSE &gt;&gt; 222802 | REMSA &gt;&gt; 22802 | JAPANPARTS &gt;&gt; PP402AF | ICER &gt;&gt; 180750 | LPR &gt;&gt; 05P073 | JAPCAR &gt;&gt; 168957 | AISIN &gt;&gt; AS193M | ROULUNDS BRAKING &gt;&gt; 496881 | ASHIKA &gt;&gt; 5104402 | NECTO &gt;&gt; FD6290 | NIPPARTS &gt;&gt; J3604024 | NIPPARTS &gt;&gt; J3604018 | BLUE PRINT &gt;&gt; ADH24209 | IPS Parts &gt;&gt; IBR1402</t>
  </si>
  <si>
    <t>Thickness/Strength, mm &gt;&gt; 15 | Length, mm &gt;&gt; 127,8 | Height, mm &gt;&gt; 48,5 | Fitting Position,  &gt;&gt; Front Axle</t>
  </si>
  <si>
    <t>HONDA &gt;&gt; 45022SB2G00 | HONDA &gt;&gt; 45022SD2505 | HONDA &gt;&gt; 45022SD2509 | HONDA &gt;&gt; 45022SD2A03 | HONDA &gt;&gt; 45022SE0315 | HONDA &gt;&gt; 45022SE0A11 | HONDA &gt;&gt; 45022SE0A10 | HONDA &gt;&gt; 45022SE0307 | HONDA &gt;&gt; 45022SE0A01 | HONDA &gt;&gt; 45022SD2A02 | HONDA &gt;&gt; 45022SE0A00 | HONDA &gt;&gt; 45022SE0306 | HONDA &gt;&gt; 45022SE0932 | HONDA &gt;&gt; 45022SD2506 | HONDA &gt;&gt; 45022SE0931 | HONDA &gt;&gt; 45022SE0305 | HONDA &gt;&gt; 45022SE0930 | HONDA &gt;&gt; 45022SD2A01 | HONDA &gt;&gt; 45022SE0912 | HONDA &gt;&gt; 45022SD2A13 | HONDA &gt;&gt; 45022SE0911 | HONDA &gt;&gt; 45022SE0910 | HONDA &gt;&gt; 45022SD2A12 | HONDA &gt;&gt; 45022SE0527 | HONDA &gt;&gt; 45022SD2A00 | HONDA &gt;&gt; 45022SE0517 | HONDA &gt;&gt; 45022SD2A11 | HONDA &gt;&gt; H4502SE0003 | HONDA &gt;&gt; 45022SE0507 | HONDA &gt;&gt; 45022SE0505 | HONDA &gt;&gt; 45022SH3G31 | HONDA &gt;&gt; 45022SD2A10 | HONDA &gt;&gt; 45022SE1911 | HONDA &gt;&gt; 45022SE0408 | HONDA &gt;&gt; 45022SE1910 | HONDA &gt;&gt; 45022SE1505 | HONDA &gt;&gt; 45022SE0325 | HONDA &gt;&gt; 45022SE0G00 | HONDA &gt;&gt; 45022SE0A12 | NISSAN &gt;&gt; AY040HN002 | TRW &gt;&gt; GDB925 | FMSI-VERBAND &gt;&gt; D334 | MK Kashiyama &gt;&gt; D5022M</t>
  </si>
  <si>
    <t>Thickness/Strength, mm &gt;&gt; 17,5 | Length, mm &gt;&gt; 129 | Height, mm &gt;&gt; 53 | Fitting Position,  &gt;&gt; Front Axle</t>
  </si>
  <si>
    <t>HONDA &gt;&gt; 45022SD4020 | HONDA &gt;&gt; 45022SD4408 | HONDA &gt;&gt; 45022SD4518 | HONDA &gt;&gt; 45022SD4A13 | HONDA &gt;&gt; 45022SG0000 | HONDA &gt;&gt; 45022SK7506 | HONDA &gt;&gt; 45022SK7505 | HONDA &gt;&gt; 45022SF9525 | HONDA &gt;&gt; 45022SK7010 | HONDA &gt;&gt; 45022SD4A12 | HONDA &gt;&gt; 45022SK7000 | HONDA &gt;&gt; 45022SF9515 | HONDA &gt;&gt; 45022SH3N30 | HONDA &gt;&gt; 45022SD4508 | HONDA &gt;&gt; 45022SG0J00 | HONDA &gt;&gt; 45022SF9505 | HONDA &gt;&gt; 45022SG0G11 | HONDA &gt;&gt; 45022SD4A11 | HONDA &gt;&gt; 45022SG0G10 | HONDA &gt;&gt; 45022SF9305 | HONDA &gt;&gt; 45022SG0527 | HONDA &gt;&gt; 45022SG0517 | HONDA &gt;&gt; 45022SE0508 | HONDA &gt;&gt; 45022SG0335 | HONDA &gt;&gt; 45022SD4528 | HONDA &gt;&gt; 45022SG0325 | HONDA &gt;&gt; H4502SR3003 | HONDA &gt;&gt; 45022SD4J00 | HONDA &gt;&gt; H4502SF9003 | HONDA &gt;&gt; 45022SG0315 | HONDA &gt;&gt; 45022SG0305 | HONDA &gt;&gt; 45022SR3N31 | HONDA &gt;&gt; 45022SD4E00 | HONDA &gt;&gt; 45022SR3N30 | HONDA &gt;&gt; 45022SG0020 | HONDA &gt;&gt; 45022SR3507 | HONDA &gt;&gt; 45022SR3409 | HONDA &gt;&gt; 45022SG0010 | HONDA &gt;&gt; 45022SK7526 | HONDA &gt;&gt; 45022SK7516 | NISSAN &gt;&gt; AY040HN005 | TRW &gt;&gt; GDB3034 | FMSI-VERBAND &gt;&gt; D409 | MK Kashiyama &gt;&gt; D5050M</t>
  </si>
  <si>
    <t>Thickness/Strength, mm &gt;&gt; 13 | Length, mm &gt;&gt; 88,7 | Height, mm &gt;&gt; 35 | Fitting Position,  &gt;&gt; Rear Axle</t>
  </si>
  <si>
    <t>HONDA &gt;&gt; 06022SP8000 | HONDA &gt;&gt; 06430SAAJ50 | HONDA &gt;&gt; 43022S04010 | HONDA &gt;&gt; 43022S04E01 | HONDA &gt;&gt; 43022SF1515 | HONDA &gt;&gt; 43022ST7000 | HONDA &gt;&gt; 43022ST3E01 | HONDA &gt;&gt; 43022SF1505 | HONDA &gt;&gt; 43022ST3E00 | HONDA &gt;&gt; 43022S04E00 | HONDA &gt;&gt; 43022SR3G01 | HONDA &gt;&gt; 43022SF1315 | HONDA &gt;&gt; 43022SR3G00 | HONDA &gt;&gt; 43022S04000 | HONDA &gt;&gt; 43022SR3030 | HONDA &gt;&gt; 43022SF1305 | HONDA &gt;&gt; 43022SR3020 | HONDA &gt;&gt; 43022S04030 | HONDA &gt;&gt; 43022SR3010 | HONDA &gt;&gt; 43022SF1010 | HONDA &gt;&gt; 43022SR3000 | HONDA &gt;&gt; 43022SR2010 | HONDA &gt;&gt; 43022SF1000 | HONDA &gt;&gt; 43022SR2000 | HONDA &gt;&gt; 43022S04020 | HONDA &gt;&gt; 43022SK7000 | HONDA &gt;&gt; 43022SAAJ50 | HONDA &gt;&gt; 43022SF1S01 | HONDA &gt;&gt; 43022SF1S00 | HONDA &gt;&gt; 43022S04E03 | HONDA &gt;&gt; 43022SF1800 | HONDA &gt;&gt; 43022SF1525 | HONDA &gt;&gt; 45022SR3L02 | HONDA &gt;&gt; 43022ST7A00 | ISUZU &gt;&gt; 5860095750 | ISUZU &gt;&gt; 5860091630 | ISUZU &gt;&gt; 5860051490 | ISUZU &gt;&gt; 5860051480 | NISSAN &gt;&gt; AY060HN002 | ROVER &gt;&gt; GBP90316AF | TRW &gt;&gt; GDB499 | TRW &gt;&gt; GDB3160 | MK Kashiyama &gt;&gt; D5042M</t>
  </si>
  <si>
    <t>L1/ L2, mm &gt;&gt; 1130,8 | Width, mm &gt;&gt; 55,1 | Thickness/Strength, mm &gt;&gt; 14,5 | Brake System,  &gt;&gt; GIR | Fitting Position,  &gt;&gt; Rear Axle | Appr. stamp,  &gt;&gt; E1190R-01183/3776</t>
  </si>
  <si>
    <t>NISSAN &gt;&gt; 4406000QAE | DAEWOO &gt;&gt; 96253368 | DAEWOO &gt;&gt; S4521001 | BOSCH &gt;&gt; 0986424757 | FERODO &gt;&gt; FDB1336 | MINTEX &gt;&gt; MDB1899 | ROADHOUSE &gt;&gt; 264610 | NECTO &gt;&gt; FD6817A</t>
  </si>
  <si>
    <t>L1/ L2, mm &gt;&gt; 88,7 | Width, mm &gt;&gt; 34,8 | Thickness/Strength, mm &gt;&gt; 12,5 | Brake System,  &gt;&gt; AKE | Fitting Position,  &gt;&gt; Rear Axle | Appr. stamp,  &gt;&gt; E190R-01820/020</t>
  </si>
  <si>
    <t>HONDA &gt;&gt; 43022ST3E00 | HONDA &gt;&gt; 43022SF1S01 | HONDA &gt;&gt; 43022SF1S00 | HONDA &gt;&gt; 43022SF1305 | HONDA &gt;&gt; 06022SP8000 | BOSCH &gt;&gt; 0986461131 | BENDIX &gt;&gt; 572136 | FERODO &gt;&gt; FDB472 | ROADHOUSE &gt;&gt; 223302</t>
  </si>
  <si>
    <t>Fitting Position,  &gt;&gt; Rear Axle | Thickness/Strength, mm &gt;&gt; 14,5 | Height, mm &gt;&gt; 54,9 | Weight, kg &gt;&gt; 0,823</t>
  </si>
  <si>
    <t>ALFA ROMEO &gt;&gt; 89296391 | MITSUBISHI &gt;&gt; AW346513 | GENERAL MOTORS &gt;&gt; S4521001 | GENERAL MOTORS &gt;&gt; 96245179 | GENERAL MOTORS &gt;&gt; 96253368 | GENERAL MOTORS &gt;&gt; 96391892 | GENERAL MOTORS &gt;&gt; S4521006 | REMSA &gt;&gt; 064610</t>
  </si>
  <si>
    <t>Fitting Position,  &gt;&gt; Rear Axle | Brake System,  &gt;&gt; AKEBONO |  &gt;&gt; with acoustic wear warning</t>
  </si>
  <si>
    <t>from construction year &gt;&gt; 10/1985</t>
  </si>
  <si>
    <t>HONDA &gt;&gt; 06022SP8000 | HONDA &gt;&gt; 43022S04E01 | HONDA &gt;&gt; 43022S04000 | HONDA &gt;&gt; 43022SD2A00 | HONDA &gt;&gt; 43022SR2000 | HONDA &gt;&gt; 43022SK7000 | HONDA &gt;&gt; 43022SD2505 | HONDA &gt;&gt; 43022SK3E00 | HONDA &gt;&gt; 43022SF1S01 | HONDA &gt;&gt; 43022SF1515 | HONDA &gt;&gt; 43022SAAJ50 | HONDA &gt;&gt; 43022SF1S00 | HONDA &gt;&gt; 43022SF1800 | HONDA &gt;&gt; 43022SF1525 | HONDA &gt;&gt; 06430SAAJ50 | HONDA &gt;&gt; 43022S04030 | HONDA &gt;&gt; 43022S04E00 | HONDA &gt;&gt; 43022SF1505 | HONDA &gt;&gt; 5860095750 | HONDA &gt;&gt; 43022SF1315 | HONDA &gt;&gt; 5860091630 | HONDA &gt;&gt; 5860051490 | HONDA &gt;&gt; 43022SF1010 | HONDA &gt;&gt; 43022SF1305 | HONDA &gt;&gt; 5860051480 | HONDA &gt;&gt; 43022ST7A00 | HONDA &gt;&gt; 43022ST3E50HE | HONDA &gt;&gt; 43022ST7000 | HONDA &gt;&gt; 43022S04010 | HONDA &gt;&gt; 43022S04020 | HONDA &gt;&gt; 43022SF1000 | HONDA &gt;&gt; 43022ST3E50 | HONDA &gt;&gt; 43022ST3E01 | HONDA &gt;&gt; 43022SF0505 | HONDA &gt;&gt; 43022ST3E00 | HONDA &gt;&gt; 43022SR3030 | HONDA &gt;&gt; 43022SD2A01 | HONDA &gt;&gt; 43022SE0000 | HONDA &gt;&gt; 43022SR3020 | HONDA &gt;&gt; 43022SR3010 | HONDA &gt;&gt; 43022SR2010 | HONDA &gt;&gt; 43022SR3000 | NISSAN &gt;&gt; AY060HN002 | ROVER &gt;&gt; GBP90347AF | ROVER &gt;&gt; GBP90347 | ROVER &gt;&gt; GBP90316AF | ROVER &gt;&gt; GBP90316 | ROVER &gt;&gt; EJP1437 | ATE &gt;&gt; 13046059982 | TEXTAR &gt;&gt; 2131201 | FERODO &gt;&gt; FSL621 | FERODO &gt;&gt; FDB621 | FERODO &gt;&gt; TAR621 | DELPHI &gt;&gt; LP625 | METELLI &gt;&gt; 2201701 | A.B.S. &gt;&gt; 36636 | TRW &gt;&gt; GDB499 | MK Kashiyama &gt;&gt; D5042M | ALLIED NIPPON &gt;&gt; ADB3242 | BLUE PRINT &gt;&gt; ADH24254 | BLUE PRINT &gt;&gt; ADH24219 | NiBK &gt;&gt; PN8206 | NISSHINBO &gt;&gt; PF8266 | NISSHINBO &gt;&gt; PF8206</t>
  </si>
  <si>
    <t>Fitting Position,  &gt;&gt; Front Axle | Brake System,  &gt;&gt; AKEBONO</t>
  </si>
  <si>
    <t>HONDA &gt;&gt; 45022SD4515 | HONDA &gt;&gt; 45022SD4505 | HONDA &gt;&gt; 45022SD4507 | HONDA &gt;&gt; 45022SD4E00 | HONDA &gt;&gt; 45022SG0506 | HONDA &gt;&gt; 45022SG0505 | HONDA &gt;&gt; 45022SD4A13 | HONDA &gt;&gt; 45022SG0325 | HONDA &gt;&gt; 45022SG0315 | HONDA &gt;&gt; 45022SD4A11HS | HONDA &gt;&gt; 45022SD4A12HS | HONDA &gt;&gt; 45022SG0305 | HONDA &gt;&gt; 45022SG0020 | HONDA &gt;&gt; 45022SG0000 | HONDA &gt;&gt; 45022SG0010 | HONDA &gt;&gt; 45022SD4J00 | HONDA &gt;&gt; 45022SD4020 | HONDA &gt;&gt; 45022SD4A11 | HONDA &gt;&gt; 45022SF9525 | HONDA &gt;&gt; 45022SF9515 | HONDA &gt;&gt; 45022SD4528 | HONDA &gt;&gt; 45022SF9505 | HONDA &gt;&gt; 45022SR3N31 | HONDA &gt;&gt; 45022SR3N30 | HONDA &gt;&gt; 45022SF9305 | HONDA &gt;&gt; 45022SK7526 | HONDA &gt;&gt; 45022SK7516 | HONDA &gt;&gt; 45022SG0517 | HONDA &gt;&gt; 45022SD4525 | HONDA &gt;&gt; 45022SE0528 | HONDA &gt;&gt; 45022SK7506 | HONDA &gt;&gt; 45022SK7010 | HONDA &gt;&gt; 45022SE0518 | HONDA &gt;&gt; 45022SK7000 | HONDA &gt;&gt; 45022SG0J00 | HONDA &gt;&gt; 45022SG0527 | HONDA &gt;&gt; 45022SE0508 | HONDA &gt;&gt; 45022SG0G11 | HONDA &gt;&gt; 45022SG0G10 | ATE &gt;&gt; 13046059222 | TEXTAR &gt;&gt; 2144601 | FERODO &gt;&gt; TAR748 | FERODO &gt;&gt; FDB748 | DELPHI &gt;&gt; LP665 | METELLI &gt;&gt; 2201710 | A.B.S. &gt;&gt; 36639 | TRW &gt;&gt; GDB3034 | MK Kashiyama &gt;&gt; D5050M | BLUE PRINT &gt;&gt; ADH24227 | BLUE PRINT &gt;&gt; ADH24223 | NiBK &gt;&gt; PN8162 | NISSHINBO &gt;&gt; PF8162</t>
  </si>
  <si>
    <t>HELLA PAGID</t>
  </si>
  <si>
    <t>PROCODIS FRANCE</t>
  </si>
  <si>
    <t>Thickness/Strength, mm &gt;&gt; 13 | Length, mm &gt;&gt; 88,8 | Height, mm &gt;&gt; 35,3 | Parameter,  &gt;&gt; PF1532 |  &gt;&gt; with brake caliper screws</t>
  </si>
  <si>
    <t>HONDA &gt;&gt; 5860051480 | HONDA &gt;&gt; 5860051490 | HONDA &gt;&gt; 5860091630 | HONDA &gt;&gt; 5860095750 | HONDA &gt;&gt; 06022SP8000 | HONDA &gt;&gt; 06430SAAJ50 | HONDA &gt;&gt; 43022ST7A00 | HONDA &gt;&gt; 43022SR3010 | HONDA &gt;&gt; 43022ST3E00 | HONDA &gt;&gt; 43022ST3E50HE | HONDA &gt;&gt; 43022ST7000 | HONDA &gt;&gt; 43022ST3E01 | HONDA &gt;&gt; 43022SR3020 | HONDA &gt;&gt; 43022SR3030 | HONDA &gt;&gt; 43022SR3505 | HONDA &gt;&gt; 43022SF1000 | HONDA &gt;&gt; 43022SF1S01 | HONDA &gt;&gt; 43022SK7000 | HONDA &gt;&gt; 43022SR2010 | HONDA &gt;&gt; 43022SR3000 | HONDA &gt;&gt; 43022SR2000 | HONDA &gt;&gt; 43022SH3G00 | HONDA &gt;&gt; 43022SH3J00 | HONDA &gt;&gt; 43022SK3E00 | HONDA &gt;&gt; 43022SF1010 | HONDA &gt;&gt; 43022SF1505 | HONDA &gt;&gt; 43022SF1525 | HONDA &gt;&gt; 43022SF1800 | HONDA &gt;&gt; 43022SF1515 | HONDA &gt;&gt; 43022SF1305 | HONDA &gt;&gt; 43022SF1315 | HONDA &gt;&gt; 43022S04000 | HONDA &gt;&gt; 43022S04E01 | HONDA &gt;&gt; 43022SD2A00 | HONDA &gt;&gt; 43022SF0505 | HONDA &gt;&gt; 43022SF0670 | HONDA &gt;&gt; 43022SD2A01 | HONDA &gt;&gt; 43022SAAJ50 | HONDA &gt;&gt; 43022SD2505 | HONDA &gt;&gt; 43022SD2930 | HONDA &gt;&gt; 43022S04010 | HONDA &gt;&gt; 43022S04020 | HONDA &gt;&gt; 43022S04030 | HONDA &gt;&gt; 43022S04E00 | MG &gt;&gt; GBP90347 | MG &gt;&gt; EJP1437 | ROVER &gt;&gt; GBP90347AF | ROVER &gt;&gt; GBP90347 | ROVER &gt;&gt; GBP90316AF | ROVER &gt;&gt; GBP90316 | ROVER &gt;&gt; EJP1437 | LOTUS &gt;&gt; GBP90316 | SPIDAN &gt;&gt; 32870 | SPIDAN &gt;&gt; 31105 | HELLA &gt;&gt; 8DB355005731 | HELLA &gt;&gt; 8DB355017151 | ATE &gt;&gt; 13046059982 | ATE &gt;&gt; 13046057312 | PAGID &gt;&gt; T3107 | PAGID &gt;&gt; T0034 | VALEO &gt;&gt; 598437 | VALEO &gt;&gt; 597056 | VALEO &gt;&gt; 598053 | VALEO &gt;&gt; 551695 | RUVILLE &gt;&gt; D56474430 | BOSCH &gt;&gt; 0986494128 | BOSCH &gt;&gt; 0986461131 | BOSCH &gt;&gt; 0986TB2181 | BOSCH &gt;&gt; 0986TB2120 | BOSCH &gt;&gt; 0986AB3779 | BOSCH &gt;&gt; 0986AB2667 | BOSCH &gt;&gt; 0986AB2169 | BOSCH &gt;&gt; F03B150024 | BOSCH &gt;&gt; F026000120 | BOSCH &gt;&gt; 0986AB2033 | BOSCH &gt;&gt; 986461131 | BOSCH &gt;&gt; 0986505729 | BOSCH &gt;&gt; 0986495256 | BOSCH &gt;&gt; 0986494392 | LEMFORDER &gt;&gt; 26260 | LEMFORDER &gt;&gt; 26178 | TEXTAR &gt;&gt; 2173804 | TEXTAR &gt;&gt; 2173801 | TEXTAR &gt;&gt; 2131213005 | TEXTAR &gt;&gt; 2131201 | JURID &gt;&gt; 572136J | JURID &gt;&gt; 572137J | JURID &gt;&gt; 572473J | JURID &gt;&gt; 572135J | JURID &gt;&gt; 571977J | JURID &gt;&gt; 571977D | BENDIX &gt;&gt; 572137B | BENDIX &gt;&gt; 572136B | BENDIX &gt;&gt; 571977X | BENDIX &gt;&gt; 571977B | FTE &gt;&gt; BL1288A2 | FTE &gt;&gt; BL1544A2 | HERTH+BUSS JAKOPARTS &gt;&gt; J3614004 | QUINTON HAZELL &gt;&gt; BP836 | QUINTON HAZELL &gt;&gt; BP448 | QUINTON HAZELL &gt;&gt; BP330 | QUINTON HAZELL &gt;&gt; BLF836 | QUINTON HAZELL &gt;&gt; BLF448 | FERODO &gt;&gt; TAR621 | FERODO &gt;&gt; FSL621 | FERODO &gt;&gt; FDB621 | BREMBO &gt;&gt; P28017 | MINTEX &gt;&gt; MDK0073 | MINTEX &gt;&gt; MDB1616 | MINTEX &gt;&gt; MDK0054 | MINTEX &gt;&gt; MDB1411 | MINTEX &gt;&gt; MDB1360 | PEX &gt;&gt; 7134 | PEX &gt;&gt; 7374 | ZIMMERMANN &gt;&gt; 217381301 | ZIMMERMANN &gt;&gt; 217191501 | ZIMMERMANN &gt;&gt; 213121302 | DELPHI &gt;&gt; LP404 | DELPHI &gt;&gt; LP625 | DELPHI &gt;&gt; LP0625 | METZGER &gt;&gt; 023352 | METZGER &gt;&gt; 023302 | MAGNETI MARELLI &gt;&gt; 363702160861 | MAGNETI MARELLI &gt;&gt; 363702160965 | ROULUNDS RUBBER &gt;&gt; 456381 | ROULUNDS RUBBER &gt;&gt; 620381 | FEBI BILSTEIN &gt;&gt; 16309 | TRISCAN &gt;&gt; 811040925 | TRISCAN &gt;&gt; 811040978 | TRISCAN &gt;&gt; 811010014 | TRISCAN &gt;&gt; 811040003 | METELLI &gt;&gt; 2201730 | METELLI &gt;&gt; 2201701 | METELLI &gt;&gt; 2201690 | NK &gt;&gt; 229972 | NK &gt;&gt; 222646 | OPTIMAL &gt;&gt; 9572 | OPTIMAL &gt;&gt; 9375 | MAPCO &gt;&gt; 6530 | MEYLE &gt;&gt; 0252131313W | MEYLE &gt;&gt; 0252173813W | KBP &gt;&gt; BP2029 | REMSA &gt;&gt; 32532 | REMSA &gt;&gt; 23302 | REMSA &gt;&gt; 23300 | REMSA &gt;&gt; 023302 | JAPANPARTS &gt;&gt; PP404AF | JAPANPARTS &gt;&gt; PP402AF | ICER &gt;&gt; 181024 | ICER &gt;&gt; 180752701 | ICER &gt;&gt; 180752 | ICER &gt;&gt; 180600 | RAMEDER &gt;&gt; T0610582 | QH Benelux &gt;&gt; 2802 | QH Benelux &gt;&gt; 2727 | QH Benelux &gt;&gt; 2638 | QH Benelux &gt;&gt; 2403 | A.B.S. &gt;&gt; 36636OE | A.B.S. &gt;&gt; 36636 | LPR &gt;&gt; 05P507 | LPR &gt;&gt; 05P506 | LPR &gt;&gt; 05P1425 | TRUSTING &gt;&gt; 1731 | TRUSTING &gt;&gt; 1760 | TRW &gt;&gt; GDB499 | SWAG &gt;&gt; 85916309 | ACDelco &gt;&gt; AC620381D | ACDelco &gt;&gt; AC456381D | SCT Germany &gt;&gt; SP195 | MK Kashiyama &gt;&gt; D5042M | ASHIKA &gt;&gt; 5104404 | ASHIKA &gt;&gt; 5104402 | NECTO &gt;&gt; FD6458N | NECTO &gt;&gt; FD6458A | NIPPARTS &gt;&gt; J3614004 | MGA &gt;&gt; 305 | MGA &gt;&gt; 492 | Brake ENGINEERING &gt;&gt; PA545 | APEC braking &gt;&gt; PAD611 | GIRLING &gt;&gt; 6104999 | KAWE &gt;&gt; 80756 | KAWE &gt;&gt; 80695 | fri.tech. &gt;&gt; 1731 | fri.tech. &gt;&gt; 1760 | sbs &gt;&gt; 229972 | E.T.F. &gt;&gt; 120530 | E.T.F. &gt;&gt; 120396 | WOKING &gt;&gt; P333302 | WOKING &gt;&gt; P333300 | BLUE PRINT &gt;&gt; ADH24254 | HERZOG GERMANY &gt;&gt; 886636 | FIRST LINE &gt;&gt; FBP3283 | FIRST LINE &gt;&gt; FBP3146 | DITAS &gt;&gt; DFB5273 | DITAS &gt;&gt; DFB5215</t>
  </si>
  <si>
    <t>Brake System,  &gt;&gt; AKEBONO | Fitting Position,  &gt;&gt; Front Axle | Height, mm &gt;&gt; 48,6 | Length, mm &gt;&gt; 127,7 | Thickness/Strength, mm &gt;&gt; 15 | WVA Number,  &gt;&gt; 20104 | WVA Number,  &gt;&gt; 20108 | WVA Number,  &gt;&gt; 22064</t>
  </si>
  <si>
    <t>HONDA &gt;&gt; 45022SE0930 | HONDA &gt;&gt; 45022SB2780 | HONDA &gt;&gt; 45022SD2A02 | HONDA &gt;&gt; 45022SE0315 | HONDA &gt;&gt; 45022SE0527 | HONDA &gt;&gt; 45022SE0911 | HONDA &gt;&gt; 45022SE0912 | HONDA &gt;&gt; 45022SE0910 | HONDA &gt;&gt; 45022SE0316 | HONDA &gt;&gt; 45022SE0325 | HONDA &gt;&gt; 45022SE0505 | HONDA &gt;&gt; 45022SD2A03 | HONDA &gt;&gt; 45022SD2A12 | HONDA &gt;&gt; 45022SE0306 | HONDA &gt;&gt; 45022SE0307 | HONDA &gt;&gt; 45022SD2A13 | HONDA &gt;&gt; 45022SD2A10 | HONDA &gt;&gt; 45022SD2A11 | HONDA &gt;&gt; 45022SB2G00 | HONDA &gt;&gt; 45022SD231277 | HONDA &gt;&gt; 45022SD2528 | HONDA &gt;&gt; 45022SD2A00 | HONDA &gt;&gt; 45022SD2A01 | HONDA &gt;&gt; 45022SD2529 | HONDA &gt;&gt; 45022SD2505 | HONDA &gt;&gt; 45022SD2506 | HONDA &gt;&gt; 45022SD2508 | HONDA &gt;&gt; 45022SE0931 | HONDA &gt;&gt; 1L0121253A | HONDA &gt;&gt; 45022SE0932 | HONDA &gt;&gt; 45022SE0A00 | HONDA &gt;&gt; 45022SE0A12 | HONDA &gt;&gt; 45022SE1911 | HONDA &gt;&gt; 45022SH3G30 | HONDA &gt;&gt; 45022SH3G31 | HONDA &gt;&gt; 45022SF1525 | HONDA &gt;&gt; 45022SE0G00 | HONDA &gt;&gt; 45022SE1505 | HONDA &gt;&gt; 45022SE1910 | HONDA &gt;&gt; 45022SE0A01 | HONDA &gt;&gt; 45022SE0A03 | HONDA &gt;&gt; 45022SE0A10 | HONDA &gt;&gt; 45022SE0A11 | ACURA &gt;&gt; 1L0121253A | ACURA &gt;&gt; 45022SH3G31 | SPIDAN &gt;&gt; 32130 | SPIDAN &gt;&gt; 31100 | SPIDAN &gt;&gt; 31277 | SPIDAN &gt;&gt; 0081277 | HELLA &gt;&gt; 8DB355005661 | HELLA &gt;&gt; 8DB355006261 | ATE &gt;&gt; 1304605961202 | ATE &gt;&gt; 13046059612 | ATE &gt;&gt; 13046059202 | ATE &gt;&gt; 21252 | ATE &gt;&gt; 1304605918202 | ATE &gt;&gt; 13046059182 | ATE &gt;&gt; 20099 | ATE &gt;&gt; 605961 | ATE &gt;&gt; 605918 | PAGID &gt;&gt; T0365 | PAGID &gt;&gt; T0012 | VALEO &gt;&gt; 598047 | VALEO &gt;&gt; 598248 | VALEO &gt;&gt; 598687 | VALEO &gt;&gt; 598190 | VALEO &gt;&gt; 597022 | VALEO &gt;&gt; 597028 | VALEO &gt;&gt; 597070 | VALEO &gt;&gt; 551610 | VALEO &gt;&gt; 551745 | VALEO &gt;&gt; 168420 | BOSCH &gt;&gt; F026000056 | BOSCH &gt;&gt; BP506 | BOSCH &gt;&gt; 986460936 | BOSCH &gt;&gt; 0986TB2117 | BOSCH &gt;&gt; 0986AB2658 | BOSCH &gt;&gt; 0986AB2652 | BOSCH &gt;&gt; 0986460972 | BOSCH &gt;&gt; 0986460936 | BOSCH &gt;&gt; 0986424135 | BOSCH &gt;&gt; 460936B | LEMFORDER &gt;&gt; 26179 | LEMFORDER &gt;&gt; 26256 | TEXTAR &gt;&gt; 2132201 | TEXTAR &gt;&gt; 2125202 | TEXTAR &gt;&gt; 2010414005 | TEXTAR &gt;&gt; 2009915005 | TEXTAR &gt;&gt; 2009915005T4047 | TEXTAR &gt;&gt; 2009914005 | TEXTAR &gt;&gt; 2009902 | TEXTAR &gt;&gt; 2009901 | JURID &gt;&gt; 2849060 | JURID &gt;&gt; 2848028 | JURID &gt;&gt; 2842033 | JURID &gt;&gt; 572330J | JURID &gt;&gt; 2841304 | JURID &gt;&gt; 28413044 | JURID &gt;&gt; 572329J | JURID &gt;&gt; 572288J | JURID &gt;&gt; 572287J | BENDIX &gt;&gt; 353287 | BENDIX &gt;&gt; 342047 | BENDIX &gt;&gt; 572330B | BENDIX &gt;&gt; 572288J | BENDIX &gt;&gt; 572329B | BENDIX &gt;&gt; 572288B | BENDIX &gt;&gt; 572288 | BENDIX &gt;&gt; 572287 | BENDIX &gt;&gt; 572287B | FTE &gt;&gt; BL1291A2 | FTE &gt;&gt; BL1021A2 | HERTH+BUSS JAKOPARTS &gt;&gt; J3608004 | HERTH+BUSS JAKOPARTS &gt;&gt; J3604024 | HERTH+BUSS JAKOPARTS &gt;&gt; J3604023 | HERTH+BUSS JAKOPARTS &gt;&gt; J3604018 | LOBRO &gt;&gt; 31277 | QUINTON HAZELL &gt;&gt; BP550 | QUINTON HAZELL &gt;&gt; BP425 | QUINTON HAZELL &gt;&gt; BLF440 | QUINTON HAZELL &gt;&gt; BLF425 | QUINTON HAZELL &gt;&gt; QHR469 | FERODO &gt;&gt; FP525 | FERODO &gt;&gt; FDB545 | FERODO &gt;&gt; FDB454 | FERODO &gt;&gt; TAR454 | BREMBO &gt;&gt; P28010 | MINTEX &gt;&gt; MDB1586 | MINTEX &gt;&gt; MDB1344 | MINTEX &gt;&gt; MDB1374 | PEX &gt;&gt; 7264 | PEX &gt;&gt; 7325 | PEX &gt;&gt; 7096S | PEX &gt;&gt; 7096 | DELPHI &gt;&gt; LP605 | DELPHI &gt;&gt; LP721 | DELPHI &gt;&gt; LP525 | METZGER &gt;&gt; 022902 | MAGNETI MARELLI &gt;&gt; BP0984 | MAGNETI MARELLI &gt;&gt; 363702160984 | MAGNETI MARELLI &gt;&gt; 363702160903 | MAGNETI MARELLI &gt;&gt; 363702160918 | ROULUNDS RUBBER &gt;&gt; 496881 | TRISCAN &gt;&gt; 8105401612 | TRISCAN &gt;&gt; 811040853 | TRISCAN &gt;&gt; 8105401534 | METELLI &gt;&gt; 2202371 | METELLI &gt;&gt; 2202370 | DOYEN &gt;&gt; GDB0925 | NK &gt;&gt; 222607 | OPTIMAL &gt;&gt; 9571 | OPTIMAL &gt;&gt; 9515 | OPTIMAL &gt;&gt; 9457 | MAPCO &gt;&gt; 6434 | MEYLE &gt;&gt; 0252132215W | MEYLE &gt;&gt; 0252010414W | KBP &gt;&gt; BP2011 | KBP &gt;&gt; BP2008 | ROADHOUSE &gt;&gt; 9457 | ROADHOUSE &gt;&gt; 223702 | ROADHOUSE &gt;&gt; 222902 | ROADHOUSE &gt;&gt; 222802 | ROADHOUSE &gt;&gt; 222800 | REMSA &gt;&gt; 022802 | REMSA &gt;&gt; 022800 | REMSA &gt;&gt; 023702 | REMSA &gt;&gt; 022902 | REMSA &gt;&gt; 22902 | REMSA &gt;&gt; 22802 | REMSA &gt;&gt; 22800 | REMSA &gt;&gt; 222802 | JAPANPARTS &gt;&gt; JPA418 | JAPANPARTS &gt;&gt; PA424AF | JAPANPARTS &gt;&gt; PA423AF | JAPANPARTS &gt;&gt; JPA424 | ICER &gt;&gt; 180755 | ICER &gt;&gt; 180750396 | ICER &gt;&gt; 180750 | ICER &gt;&gt; 180749 | RAMEDER &gt;&gt; T0610494 | RAMEDER &gt;&gt; T0600071 | RAMEDER &gt;&gt; T0610432 | QH Benelux &gt;&gt; 022802 | QH Benelux &gt;&gt; BP425 | QH Benelux &gt;&gt; 2489 | QH Benelux &gt;&gt; 022800 | A.B.S. &gt;&gt; 36616 | A.B.S. &gt;&gt; 36615 | LPR &gt;&gt; 05P073 | LPR &gt;&gt; 05P552 | LPR &gt;&gt; 05P291 | TRUSTING &gt;&gt; 2461 | TRUSTING &gt;&gt; 2460 | KAVO PARTS &gt;&gt; BP2020 | KAVO PARTS &gt;&gt; BP2008 | KAVO PARTS &gt;&gt; KBP2020 | MOPROD &gt;&gt; MDP1034 | UNIPART &gt;&gt; GBP708AF | UNIPART &gt;&gt; GBP708 | TRW &gt;&gt; GDB925 | TRW &gt;&gt; GDB784 | HAVAM &gt;&gt; HP2525T | HAVAM &gt;&gt; HP2525 | HAVAM &gt;&gt; HP2489T | HAVAM &gt;&gt; HP2489 | ECHLIN INTERNATIONAL &gt;&gt; FT1410 | AKEBONO &gt;&gt; AN211WK | AKEBONO &gt;&gt; A211WK | FMSI-VERBAND &gt;&gt; 20108 | FMSI-VERBAND &gt;&gt; D3347229 | FMSI-VERBAND &gt;&gt; D03347229 | FMSI-VERBAND &gt;&gt; 201041400 | FMSI-VERBAND &gt;&gt; 20104 | FMSI-VERBAND &gt;&gt; 200991500 | FMSI-VERBAND &gt;&gt; 20099150 | FMSI-VERBAND &gt;&gt; 7229D334 | FMSI-VERBAND &gt;&gt; 20099 | HP (ZEBRA) &gt;&gt; HP2489 | HP (ZEBRA) &gt;&gt; 2489 | ACDelco &gt;&gt; AC496881D | ACDelco &gt;&gt; 1721245 | ROULUNDS BRAKING &gt;&gt; 441881 | ROULUNDS BRAKING &gt;&gt; 620881 | ROULUNDS BRAKING &gt;&gt; 496886 | ROULUNDS BRAKING &gt;&gt; 496881 | SCT Germany &gt;&gt; SP238 | MK Kashiyama &gt;&gt; D5033KD186SM | MK Kashiyama &gt;&gt; D5022MKD149M | MK Kashiyama &gt;&gt; D5022M | MK Kashiyama &gt;&gt; D05022 | ASHIKA &gt;&gt; 5004423 | ASHIKA &gt;&gt; 5004424 | NECTO &gt;&gt; FD6526N | NECTO &gt;&gt; FD6526A | NECTO &gt;&gt; FD6290A | NECTO &gt;&gt; FD6290 | NIPPARTS &gt;&gt; J3604024 | NIPPARTS &gt;&gt; J360418 | NIPPARTS &gt;&gt; J3604023 | NIPPARTS &gt;&gt; J3604022 | NIPPARTS &gt;&gt; J3604018 | NIPPARTS &gt;&gt; 3604024 | NIPPARTS &gt;&gt; 3604018 | Brake ENGINEERING &gt;&gt; PA611 | Brake ENGINEERING &gt;&gt; PA463 | APEC braking &gt;&gt; PAD502 | APEC braking &gt;&gt; PAD450 | DON &gt;&gt; 030602310 | DON &gt;&gt; NDB155 | HELLA PAGID &gt;&gt; T0365 | EFI &gt;&gt; EDB454 | KAGER &gt;&gt; 350767 | KAGER &gt;&gt; 350672 | GIRLING &gt;&gt; 6109259 | GIRLING &gt;&gt; 6107849 | GIRLING &gt;&gt; 6103829 | AP &gt;&gt; LP525 | KAWE &gt;&gt; 80755 | KAWE &gt;&gt; 022800 | KAWE &gt;&gt; 022802 | fri.tech. &gt;&gt; 2461 | fri.tech. &gt;&gt; 2460 | sbs &gt;&gt; 222607 | sbs &gt;&gt; 1501222607 | E.T.F. &gt;&gt; 120479 | E.T.F. &gt;&gt; 120349 | CIFAM &gt;&gt; 8222371 | CIFAM &gt;&gt; 8222370 | WOKING &gt;&gt; 328302 | WOKING &gt;&gt; P328302 | SIMER &gt;&gt; 6611 | SIMER &gt;&gt; 661 | FREN-J &gt;&gt; 496881 | BLUE PRINT &gt;&gt; ADH24221 | BLUE PRINT &gt;&gt; ADH24216 | FIRST LINE &gt;&gt; 1418 | MOTAQUIP &gt;&gt; VXL490 | MOTAQUIP &gt;&gt; VBP490 | MAFIX &gt;&gt; PL201 | GALFER &gt;&gt; 21073 | PROCODIS FRANCE &gt;&gt; PF1136</t>
  </si>
  <si>
    <t>Brake System,  &gt;&gt; AKEBONO | Fitting Position,  &gt;&gt; Front Axle | Height, mm &gt;&gt; 53 | Length, mm &gt;&gt; 129,1 | Thickness/Strength, mm &gt;&gt; 17 | WVA Number,  &gt;&gt; 20067 | WVA Number,  &gt;&gt; 20081 | WVA Number,  &gt;&gt; 20082</t>
  </si>
  <si>
    <t>HONDA &gt;&gt; 45022SK7000 | HONDA &gt;&gt; 45022SE0518 | HONDA &gt;&gt; 45022SG0325 | HONDA &gt;&gt; 45022SG0G10 | HONDA &gt;&gt; 45022SG0G13 | HONDA &gt;&gt; 45022SH3N30 | HONDA &gt;&gt; 45022SH3N32 | HONDA &gt;&gt; 45022SG0J00 | HONDA &gt;&gt; 45022SG0G11 | HONDA &gt;&gt; 45022SG0505 | HONDA &gt;&gt; 45022SG0517 | HONDA &gt;&gt; 45022SG0527 | HONDA &gt;&gt; 45022SG0506 | HONDA &gt;&gt; 45022SE0528 | HONDA &gt;&gt; 45022SG0010 | HONDA &gt;&gt; 45022SG0305 | HONDA &gt;&gt; 45022SG0315 | HONDA &gt;&gt; 45022SG0020 | HONDA &gt;&gt; 45022SF9305 | HONDA &gt;&gt; 45022SF9505 | HONDA &gt;&gt; 45022SF9525 | HONDA &gt;&gt; 45022SG0000 | HONDA &gt;&gt; 45022SF9515 | HONDA &gt;&gt; 45022SK7010 | HONDA &gt;&gt; 45022SD4526 | HONDA &gt;&gt; 45022SD4A12 | HONDA &gt;&gt; 45022SD4E00 | HONDA &gt;&gt; 45022SD4J00 | HONDA &gt;&gt; 45022SE0508 | HONDA &gt;&gt; 45022SD4A12HS | HONDA &gt;&gt; 45022SD4A13 | HONDA &gt;&gt; 45022SD4528 | HONDA &gt;&gt; 45022SD4A11 | HONDA &gt;&gt; 45022SD4A11HS | HONDA &gt;&gt; 45022SD4A10 | HONDA &gt;&gt; 45022SK7506 | HONDA &gt;&gt; 45022SD4011 | HONDA &gt;&gt; 45022SD4505 | HONDA &gt;&gt; 45022SD4515 | HONDA &gt;&gt; 45022SD4525 | HONDA &gt;&gt; 45022SD4507 | HONDA &gt;&gt; 45022SD4020 | HONDA &gt;&gt; 45022SD431446 | HONDA &gt;&gt; 45022SK7516 | HONDA &gt;&gt; 45022SA4A11 | HONDA &gt;&gt; 45022SD4000 | HONDA &gt;&gt; 45022SD4010 | HONDA &gt;&gt; 45022SR3N30 | HONDA &gt;&gt; 45022SA4A12 | HONDA &gt;&gt; 45022SR3N31 | HONDA &gt;&gt; 45022SK7518 | HONDA &gt;&gt; 45022SK7526 | ROVER &gt;&gt; GBP90298 | ACURA &gt;&gt; 45022SG0G11 | ACURA &gt;&gt; 45022SG0G10 | ACURA &gt;&gt; 45022SG0527 | ACURA &gt;&gt; 45022SG0517 | ACURA &gt;&gt; 45022SG0325 | ACURA &gt;&gt; 45022SG0315 | ACURA &gt;&gt; 45022SG0020 | ACURA &gt;&gt; 45022SG0010 | ACURA &gt;&gt; 45022SG0000 | ACURA &gt;&gt; 45022SE0528 | ACURA &gt;&gt; 45022SD4E00 | ACURA &gt;&gt; 45022SD4A13 | ACURA &gt;&gt; 45022SD4A11 | ACURA &gt;&gt; 45022SD4A10 | ACURA &gt;&gt; 45022SD4528 | ACURA &gt;&gt; 45022SD4020 | ACURA &gt;&gt; 45022SR3N31 | ACURA &gt;&gt; 45022SK7526 | ACURA &gt;&gt; 45022SK7000 | ACURA &gt;&gt; 45022SK7010 | SPIDAN &gt;&gt; 31742 | SPIDAN &gt;&gt; 31446 | SPIDAN &gt;&gt; 0081446 | HELLA &gt;&gt; 8DB355006301 | HELLA &gt;&gt; 8DB355016631 | ATE &gt;&gt; 13046059222 | ATE &gt;&gt; 605922 | PAGID &gt;&gt; T3015 | PAGID &gt;&gt; T0370 | VALEO &gt;&gt; 598190 | VALEO &gt;&gt; 551745 | VALEO &gt;&gt; 551610 | BOSCH &gt;&gt; 986424260 | BOSCH &gt;&gt; 0986TB2124 | BOSCH &gt;&gt; 461125B | BOSCH &gt;&gt; 0986461125 | BOSCH &gt;&gt; 0986424260 | BOSCH &gt;&gt; 424260B | LEMFORDER &gt;&gt; 26254 | TEXTAR &gt;&gt; 2144617505T4047 | TEXTAR &gt;&gt; 2144617505 | TEXTAR &gt;&gt; 2144601 | TEXTAR &gt;&gt; 2006717505 | JURID &gt;&gt; 2848007 | JURID &gt;&gt; 2842131 | JURID &gt;&gt; 2842125 | JURID &gt;&gt; 572309J | JURID &gt;&gt; 572308J | BENDIX &gt;&gt; 572309B | BENDIX &gt;&gt; 572308J | BENDIX &gt;&gt; 572308B | FTE &gt;&gt; BL1016A2 | FTE &gt;&gt; BL1321A2 | HERTH+BUSS JAKOPARTS &gt;&gt; J3604026 | HERTH+BUSS JAKOPARTS &gt;&gt; J3604022 | LOBRO &gt;&gt; 31446 | QUINTON HAZELL &gt;&gt; MBP548 | QUINTON HAZELL &gt;&gt; BP548 | QUINTON HAZELL &gt;&gt; BP380 | QUINTON HAZELL &gt;&gt; BLF548 | QUINTON HAZELL &gt;&gt; BLF636 | FERODO &gt;&gt; TAR748 | FERODO &gt;&gt; FDB748 | FERODO &gt;&gt; FDB465 | FERODO &gt;&gt; FDB466 | BREMBO &gt;&gt; P28013 | BREMBO &gt;&gt; P28014 | MINTEX &gt;&gt; MDB1589 | MINTEX &gt;&gt; MDB1469 | MINTEX &gt;&gt; MDB1399 | PEX &gt;&gt; 7196 | ZIMMERMANN &gt;&gt; 214461751 | DELPHI &gt;&gt; LP665 | DELPHI &gt;&gt; LP0559 | MAGNETI MARELLI &gt;&gt; 363702160888 | MAGNETI MARELLI &gt;&gt; 363702160738 | MAGNETI MARELLI &gt;&gt; BP0888 | ROULUNDS RUBBER &gt;&gt; 472681 | ROULUNDS RUBBER &gt;&gt; 472381 | TRISCAN &gt;&gt; 811010974 | METELLI &gt;&gt; 2202250 | METELLI &gt;&gt; 2201710 | NK &gt;&gt; 222618 | NK &gt;&gt; 222612 | OPTIMAL &gt;&gt; 9470 | OPTIMAL &gt;&gt; 9652 | MAPCO &gt;&gt; 6328 | KBP &gt;&gt; BP2021 | ROADHOUSE &gt;&gt; 240602 | ROADHOUSE &gt;&gt; 232302 | ROADHOUSE &gt;&gt; 223702 | ROADHOUSE &gt;&gt; 219302 | REMSA &gt;&gt; 40602 | REMSA &gt;&gt; 32302 | REMSA &gt;&gt; 019302 | REMSA &gt;&gt; 040602 | REMSA &gt;&gt; 25001 | REMSA &gt;&gt; 23702 | REMSA &gt;&gt; 223702 | REMSA &gt;&gt; 032302 | REMSA &gt;&gt; 023702 | JAPANPARTS &gt;&gt; PA440AF | JAPANPARTS &gt;&gt; PA426AF | JAPANPARTS &gt;&gt; PA422AF | JAPANPARTS &gt;&gt; PA421AF | JAPANPARTS &gt;&gt; JPA426 | JAPANPARTS &gt;&gt; JPA422 | ICER &gt;&gt; 180962 | ICER &gt;&gt; 180704396 | ICER &gt;&gt; 180704 | RAMEDER &gt;&gt; T0610568 | QH Benelux &gt;&gt; 025001 | QH Benelux &gt;&gt; 2726 | QH Benelux &gt;&gt; 2517 | QH Benelux &gt;&gt; BP548 | QH Benelux &gt;&gt; 023702 | QH Benelux &gt;&gt; 032302 | A.B.S. &gt;&gt; 36639 | LPR &gt;&gt; 05P555 | LPR &gt;&gt; 05P339 | LPR &gt;&gt; 05P080 | TRUSTING &gt;&gt; 1740 | TRUSTING &gt;&gt; 2340 | KAVO PARTS &gt;&gt; KBP2027 | KAVO PARTS &gt;&gt; BP2021 | MOPROD &gt;&gt; MDP1080 | MOPROD &gt;&gt; MDP1042 | TRW &gt;&gt; GDB733 | TRW &gt;&gt; GDB3034 | HAVAM &gt;&gt; HP2726 | HAVAM &gt;&gt; HP2517T | HAVAM &gt;&gt; HP2517 | ECHLIN INTERNATIONAL &gt;&gt; FT1550 | AKEBONO &gt;&gt; AN274WK | AKEBONO &gt;&gt; AN230WK | AKEBONO &gt;&gt; A230WK | FMSI-VERBAND &gt;&gt; D3417235 | FMSI-VERBAND &gt;&gt; D04107298 | FMSI-VERBAND &gt;&gt; D04097445 | FMSI-VERBAND &gt;&gt; D04097235 | FMSI-VERBAND &gt;&gt; D03417235 | HP (ZEBRA) &gt;&gt; HP2517 | HP (ZEBRA) &gt;&gt; 2517 | ACDelco &gt;&gt; AC472681D | ROULUNDS BRAKING &gt;&gt; 472381 | MK Kashiyama &gt;&gt; D5027MKD177M | MK Kashiyama &gt;&gt; D5050M | MK Kashiyama &gt;&gt; D5027M | MK Kashiyama &gt;&gt; D05027 | ASHIKA &gt;&gt; 5004426 | NECTO &gt;&gt; FD6535A | NIPPARTS &gt;&gt; J360426 | NIPPARTS &gt;&gt; J360422 | NIPPARTS &gt;&gt; J3604026 | NIPPARTS &gt;&gt; J3604022 | MGA &gt;&gt; 413 | Brake ENGINEERING &gt;&gt; PA737 | APEC braking &gt;&gt; PAD704 | DON &gt;&gt; NDB177 | DON &gt;&gt; 030608010 | HELLA PAGID &gt;&gt; T3015 | GIRLING &gt;&gt; 6107339 | GIRLING &gt;&gt; 6130349 | KAWE &gt;&gt; 023702 | KAWE &gt;&gt; 032302 | KAWE &gt;&gt; 80945 | fri.tech. &gt;&gt; 1740 | fri.tech. &gt;&gt; 2340 | sbs &gt;&gt; 222618 | sbs &gt;&gt; 222612 | E.T.F. &gt;&gt; 120480 | E.T.F. &gt;&gt; 120371 | CIFAM &gt;&gt; 8222250 | CIFAM &gt;&gt; 8221710 | WOKING &gt;&gt; 337302 | WOKING &gt;&gt; P337302 | WOKING &gt;&gt; P223302 | SIMER &gt;&gt; 4311 | SIMER &gt;&gt; 431 | RAICAM &gt;&gt; 4550 | FREN-J &gt;&gt; 472381 | BLUE PRINT &gt;&gt; ADH24227AF | BLUE PRINT &gt;&gt; ADH24227 | FIRST LINE &gt;&gt; FBP1366</t>
  </si>
  <si>
    <t>Brake System,  &gt;&gt; AKEBONO | Fitting Position,  &gt;&gt; Rear Axle | Height, mm &gt;&gt; 35,5 | Length, mm &gt;&gt; 89 | Thickness/Strength, mm &gt;&gt; 13 | WVA Number,  &gt;&gt; 21312 | WVA Number,  &gt;&gt; 21313</t>
  </si>
  <si>
    <t>HONDA &gt;&gt; 43022SD2930 | HONDA &gt;&gt; 5860051480 | HONDA &gt;&gt; 43022S04000 | HONDA &gt;&gt; 43022S04020 | HONDA &gt;&gt; 43022SAAE50 | HONDA &gt;&gt; 43022SD2307 | HONDA &gt;&gt; 43022SD2505 | HONDA &gt;&gt; 43022SAAJ50 | HONDA &gt;&gt; 43022S04030 | HONDA &gt;&gt; 43022S04E00 | HONDA &gt;&gt; 43022S04E01 | HONDA &gt;&gt; 43022S04010 | HONDA &gt;&gt; 5860051490 | HONDA &gt;&gt; 5860091630 | HONDA &gt;&gt; 5860095750 | HONDA &gt;&gt; 43022SD2A00 | HONDA &gt;&gt; 06430SAAJ50 | HONDA &gt;&gt; 45022SR3010 | HONDA &gt;&gt; 43022SR2000 | HONDA &gt;&gt; 43022ST3E01 | HONDA &gt;&gt; 43022ST7A00 | HONDA &gt;&gt; 43022TF0G01 | HONDA &gt;&gt; 45022SR3000 | HONDA &gt;&gt; 43022TF0G00 | HONDA &gt;&gt; 43022ST3E50 | HONDA &gt;&gt; 43022ST3E50HE | HONDA &gt;&gt; 43022ST7000 | HONDA &gt;&gt; 43022SR2010 | HONDA &gt;&gt; 43022SR3020 | HONDA &gt;&gt; 43022SR3505 | HONDA &gt;&gt; 43022ST3E00 | HONDA &gt;&gt; 43022SR3030 | HONDA &gt;&gt; 43022SR3000 | HONDA &gt;&gt; 43022SR3010 | HONDA &gt;&gt; 43022SD2A01 | HONDA &gt;&gt; 43022SF1525 | HONDA &gt;&gt; 06022SP8000 | HONDA &gt;&gt; 43022SH3J00 | HONDA &gt;&gt; 43022SK3E00 | HONDA &gt;&gt; 43022SK7000 | HONDA &gt;&gt; 43022SH3N30 | HONDA &gt;&gt; 43022SH3930 | HONDA &gt;&gt; 43022SH3G00 | HONDA &gt;&gt; 43022SH3G01 | HONDA &gt;&gt; 43022SH3931 | HONDA &gt;&gt; 43022SF1800 | HONDA &gt;&gt; 43022SG0000 | HONDA &gt;&gt; 43022SH3600 | HONDA &gt;&gt; 43022SH3601 | HONDA &gt;&gt; 43022SH3305 | HONDA &gt;&gt; 43022SF1S00 | HONDA &gt;&gt; 43022SF1S01 | HONDA &gt;&gt; 43022SE0000 | HONDA &gt;&gt; 43022SF0505 | HONDA &gt;&gt; 43022SF1305 | HONDA &gt;&gt; 43022SF1505 | HONDA &gt;&gt; 43022SF1515 | HONDA &gt;&gt; 43022SF1315 | HONDA &gt;&gt; 43022SF0670 | HONDA &gt;&gt; 43022SF1000 | HONDA &gt;&gt; 43022SF1010 | HONDA &gt;&gt; 43022SE0506 | HONDA &gt;&gt; 43022SE0930 | HONDA &gt;&gt; 43022SE0931 | HONDA &gt;&gt; 43022SE0S00 | MG &gt;&gt; UGBS835AF | MG &gt;&gt; UGBP316AF | MG &gt;&gt; GBP90347AF | MG &gt;&gt; GBP90347 | MG &gt;&gt; GBP90316AF | MG &gt;&gt; GBP90316 | MG &gt;&gt; EJP1437 | ROVER &gt;&gt; UGBS835AF | ROVER &gt;&gt; UGBP316AF | ROVER &gt;&gt; SFP000400 | ROVER &gt;&gt; GBP90347AF | ROVER &gt;&gt; GBP90347 | ROVER &gt;&gt; GBP90316AF | ROVER &gt;&gt; GBP90316 | ROVER &gt;&gt; EJP1437 | LEYLAND-DAF &gt;&gt; GBP90316 | LOTUS &gt;&gt; GBP90316 | LDV &gt;&gt; GBP90316 | SPIDAN &gt;&gt; 32870 | SPIDAN &gt;&gt; 31105 | HELLA &gt;&gt; 8DB355005731 | HELLA &gt;&gt; 8DB355017151 | ATE &gt;&gt; 21312 | ATE &gt;&gt; 605998 | ATE &gt;&gt; 1304605998202 | ATE &gt;&gt; 13046059982 | ATE &gt;&gt; 13046057312 | PAGID &gt;&gt; T3107 | PAGID &gt;&gt; T0034 | PAGID &gt;&gt; T0012 | VALEO &gt;&gt; 598286 | VALEO &gt;&gt; 598437 | VALEO &gt;&gt; 597070 | VALEO &gt;&gt; 598053 | VALEO &gt;&gt; 597056 | VALEO &gt;&gt; 551728 | VALEO &gt;&gt; 551695 | RUVILLE &gt;&gt; D56474430 | BOSCH &gt;&gt; BP582 | BOSCH &gt;&gt; 0986TB2181 | BOSCH &gt;&gt; 986461131 | BOSCH &gt;&gt; 0986TB2120 | BOSCH &gt;&gt; 0986AB3779 | BOSCH &gt;&gt; 0986AB2667 | BOSCH &gt;&gt; 0986AB2169 | BOSCH &gt;&gt; 0986AB2033 | BOSCH &gt;&gt; 0986505729 | BOSCH &gt;&gt; 0986494392 | BOSCH &gt;&gt; 0986494128 | BOSCH &gt;&gt; 0986461131 | BOSCH &gt;&gt; F026000120 | BOSCH &gt;&gt; F03B150024 | SACHS &gt;&gt; 111_0181 | SACHS &gt;&gt; 111_1069 | LEMFORDER &gt;&gt; 26178 | LEMFORDER &gt;&gt; 26260 | TEXTAR &gt;&gt; 2131213005T4067 | TEXTAR &gt;&gt; 2131213005 | TEXTAR &gt;&gt; 2131201 | TEXTAR &gt;&gt; 2173804 | TEXTAR &gt;&gt; 2173801 | TEXTAR &gt;&gt; 2132315004 | JURID &gt;&gt; 2842103 | JURID &gt;&gt; 572137J | JURID &gt;&gt; 572473J | JURID &gt;&gt; 572136J | JURID &gt;&gt; 572135J | JURID &gt;&gt; 571977J | JURID &gt;&gt; 571977D | BENDIX &gt;&gt; 342441 | BENDIX &gt;&gt; 572137B | BENDIX &gt;&gt; 572136J | BENDIX &gt;&gt; 572137 | BENDIX &gt;&gt; 572136B | BENDIX &gt;&gt; 572136 | BENDIX &gt;&gt; 571977X | BENDIX &gt;&gt; 571977B | BENDIX &gt;&gt; 571977 | FTE &gt;&gt; BL1544A2 | FTE &gt;&gt; BL1288A2 | HERTH+BUSS JAKOPARTS &gt;&gt; J3614007 | HERTH+BUSS JAKOPARTS &gt;&gt; J3614002 | HERTH+BUSS JAKOPARTS &gt;&gt; J3614004 | LOBRO &gt;&gt; 31105 | QUINTON HAZELL &gt;&gt; BP601 | QUINTON HAZELL &gt;&gt; BP448 | QUINTON HAZELL &gt;&gt; BP330 | QUINTON HAZELL &gt;&gt; BLF836 | QUINTON HAZELL &gt;&gt; BLF448 | QUINTON HAZELL &gt;&gt; BP836 | FERODO &gt;&gt; TAR621 | FERODO &gt;&gt; FP625 | FERODO &gt;&gt; FSL621 | FERODO &gt;&gt; FDB778 | FERODO &gt;&gt; FDB621 | BREMBO &gt;&gt; P28017 | MINTEX &gt;&gt; MDK0054 | MINTEX &gt;&gt; MDK0073 | MINTEX &gt;&gt; MDB2191 | MINTEX &gt;&gt; MDB1616 | MINTEX &gt;&gt; MDB1375 | MINTEX &gt;&gt; MDB1411 | MINTEX &gt;&gt; MDB1360 | PEX &gt;&gt; 7374 | PEX &gt;&gt; 7399 | PEX &gt;&gt; 7011 | PEX &gt;&gt; 7134 | BORG &amp; BECK &gt;&gt; BBP1526 | ZIMMERMANN &gt;&gt; 217381301 | ZIMMERMANN &gt;&gt; 217191501 | ZIMMERMANN &gt;&gt; 213121302 | DELPHI &gt;&gt; LP772 | DELPHI &gt;&gt; LP625 | DELPHI &gt;&gt; LP404 | DELPHI &gt;&gt; LP0625 | METZGER &gt;&gt; 023352 | METZGER &gt;&gt; 023302 | MAGNETI MARELLI &gt;&gt; 363702160965 | MAGNETI MARELLI &gt;&gt; 363702160912 | MAGNETI MARELLI &gt;&gt; 363702160861 | MAGNETI MARELLI &gt;&gt; 363702160599 | ROULUNDS RUBBER &gt;&gt; 620381 | ROULUNDS RUBBER &gt;&gt; 456381 | FEBI BILSTEIN &gt;&gt; 16309 | TRISCAN &gt;&gt; 811040978 | TRISCAN &gt;&gt; 811040003 | TRISCAN &gt;&gt; 811040925 | TRISCAN &gt;&gt; 811010014 | METELLI &gt;&gt; 2201730 | METELLI &gt;&gt; 2201701 | METELLI &gt;&gt; 2201690 | NK &gt;&gt; 229972 | NK &gt;&gt; 222646 | NK &gt;&gt; 222608 | OPTIMAL &gt;&gt; 9375 | OPTIMAL &gt;&gt; 9572 | OPTIMAL &gt;&gt; 12061 | MAPCO &gt;&gt; 6530 | MEYLE &gt;&gt; 0252173813W | MEYLE &gt;&gt; 0252131313W | KBP &gt;&gt; BP2029 | ROADHOUSE &gt;&gt; 232502 | ROADHOUSE &gt;&gt; 223385 | ROADHOUSE &gt;&gt; 223352 | ROADHOUSE &gt;&gt; 223342 | ROADHOUSE &gt;&gt; 223320 | ROADHOUSE &gt;&gt; 223312 | ROADHOUSE &gt;&gt; 223302 | ROADHOUSE &gt;&gt; 223300 | ROADHOUSE &gt;&gt; 218302 | REMSA &gt;&gt; 032502 | REMSA &gt;&gt; 023320 | REMSA &gt;&gt; 32532 | REMSA &gt;&gt; 023312 | REMSA &gt;&gt; 023300 | REMSA &gt;&gt; 23385 | REMSA &gt;&gt; 023385 | REMSA &gt;&gt; 23342 | REMSA &gt;&gt; 23302 | REMSA &gt;&gt; 23300 | REMSA &gt;&gt; 023302 | REMSA &gt;&gt; 023352 | REMSA &gt;&gt; 023342 | REMSA &gt;&gt; 018302 | JAPANPARTS &gt;&gt; PP404AF | JAPANPARTS &gt;&gt; PP402AF | ICER &gt;&gt; 181045 | ICER &gt;&gt; 181024 | ICER &gt;&gt; 180753 | ICER &gt;&gt; 180752825 | ICER &gt;&gt; 180752701 | ICER &gt;&gt; 180752 | ICER &gt;&gt; 180600 | RAMEDER &gt;&gt; T0610582 | QH Benelux &gt;&gt; BP448 | QH Benelux &gt;&gt; 2802 | QH Benelux &gt;&gt; 2727 | QH Benelux &gt;&gt; 2638 | QH Benelux &gt;&gt; 2403 | QH Benelux &gt;&gt; BP601 | A.B.S. &gt;&gt; 36636 | LPR &gt;&gt; 05P072 | LPR &gt;&gt; 05P507 | LPR &gt;&gt; 05P506 | LPR &gt;&gt; 05P1425 | TRUSTING &gt;&gt; 1760 | TRUSTING &gt;&gt; 1731 | TRUSTING &gt;&gt; 1730 | MOPROD &gt;&gt; MDP1146 | MOPROD &gt;&gt; MDP1130 | UNIPART &gt;&gt; GBP90316 | UNIPART &gt;&gt; GBP316AF | UNIPART &gt;&gt; GBP316 | TRW &gt;&gt; GDB499 | SWAG &gt;&gt; 85916309 | AKEBONO &gt;&gt; AN265WK | AKEBONO &gt;&gt; A265K | FMSI-VERBAND &gt;&gt; 213121300 | FMSI-VERBAND &gt;&gt; 213121250 | FMSI-VERBAND &gt;&gt; 21312 | FMSI-VERBAND &gt;&gt; 7233D374 | FMSI-VERBAND &gt;&gt; 7233D339 | FMSI-VERBAND &gt;&gt; 7233D364 | FMSI-VERBAND &gt;&gt; 213231500 | FMSI-VERBAND &gt;&gt; 21323125 | FMSI-VERBAND &gt;&gt; 21323 | FMSI-VERBAND &gt;&gt; D3747233 | HP (ZEBRA) &gt;&gt; 2727 | HP (ZEBRA) &gt;&gt; 2638 | ACDelco &gt;&gt; AC620381D | ACDelco &gt;&gt; AC456381D | ROULUNDS BRAKING &gt;&gt; 456381 | SCT Germany &gt;&gt; SP195 | MK Kashiyama &gt;&gt; D5049SM | MK Kashiyama &gt;&gt; D5049 | MK Kashiyama &gt;&gt; D5042MKD210M | MK Kashiyama &gt;&gt; D5042M | ASHIKA &gt;&gt; 5104404 | ASHIKA &gt;&gt; 5104402 | NECTO &gt;&gt; FD6458N | NECTO &gt;&gt; FD6458E | NECTO &gt;&gt; FD6458A | NECTO &gt;&gt; FD6458 | NIPPARTS &gt;&gt; 3614007 | NIPPARTS &gt;&gt; J361404 | NIPPARTS &gt;&gt; J3614004 | MGA &gt;&gt; 305 | MGA &gt;&gt; 492 | MGA &gt;&gt; MGA305 | Brake ENGINEERING &gt;&gt; PA545 | APEC braking &gt;&gt; PAD688 | APEC braking &gt;&gt; PAD611 | APEC braking &gt;&gt; PAD1009 | EFI &gt;&gt; EDB621 | DURON &gt;&gt; DBP260621 | KAGER &gt;&gt; 350301 | KAGER &gt;&gt; 350299 | GIRLING &gt;&gt; 6131609 | GIRLING &gt;&gt; 6107639 | GIRLING &gt;&gt; 6131139 | GIRLING &gt;&gt; 6104999 | AP &gt;&gt; LP625 | KAWE &gt;&gt; 80756 | KAWE &gt;&gt; 80695 | fri.tech. &gt;&gt; 1760 | fri.tech. &gt;&gt; 1731 | sbs &gt;&gt; 229972 | E.T.F. &gt;&gt; 120530 | E.T.F. &gt;&gt; 120396 | CIFAM &gt;&gt; 8221701 | WOKING &gt;&gt; 333302 | WOKING &gt;&gt; P333312 | WOKING &gt;&gt; P333300 | WOKING &gt;&gt; P333302 | FREN-J &gt;&gt; 456381 | BLUE PRINT &gt;&gt; ADH24286 | BLUE PRINT &gt;&gt; ADH24254 | HERZOG GERMANY &gt;&gt; 886636 | FIRST LINE &gt;&gt; 3146 | FIRST LINE &gt;&gt; 1495 | FIRST LINE &gt;&gt; FBP3283 | FIRST LINE &gt;&gt; FBP3146 | MOTAQUIP &gt;&gt; VXL533 | MOTAQUIP &gt;&gt; VBP546 | MOTAQUIP &gt;&gt; VBP533 | CECAUTO &gt;&gt; 616280 | MAFIX &gt;&gt; PL219 | LEADER PARTS &gt;&gt; 20304911 | METALFREN &gt;&gt; 00305 | DITAS &gt;&gt; DFB5273 | DITAS &gt;&gt; DFB5215 | GALFER &gt;&gt; B1G1021121202 | GALFER &gt;&gt; 21121 | GALFER &gt;&gt; 201000 | GALFER &gt;&gt; G1021121 | JURATEK &gt;&gt; JCP621 | WAGNER &gt;&gt; WBP21312A</t>
  </si>
  <si>
    <t>Brake System,  &gt;&gt; AKEBONO | Fitting Position,  &gt;&gt; Front Axle | Height, mm &gt;&gt; 49,5 | Length, mm &gt;&gt; 132,2 | Thickness/Strength, mm &gt;&gt; 15 | WVA Number,  &gt;&gt; 21323 | WVA Number,  &gt;&gt; 21324</t>
  </si>
  <si>
    <t>HONDA &gt;&gt; 45022SE0000 | HONDA &gt;&gt; 45022SH3931 | HONDA &gt;&gt; 45022SH3932 | HONDA &gt;&gt; 45022SK3E00 | HONDA &gt;&gt; 45022SH3933 | HONDA &gt;&gt; 45022SH3G30 | HONDA &gt;&gt; 45022SH3G32 | HONDA &gt;&gt; 45022SH3G33 | HONDA &gt;&gt; 45022SH3G31 | HONDA &gt;&gt; 45022SH3934 | HONDA &gt;&gt; 45022SE0010 | HONDA &gt;&gt; 45022SF1000 | HONDA &gt;&gt; 45022SH3311 | HONDA &gt;&gt; 45022SH3515 | HONDA &gt;&gt; 45022SH3549 | HONDA &gt;&gt; 45022SH3930 | HONDA &gt;&gt; 45022SH3519 | HONDA &gt;&gt; 45022SH3317 | HONDA &gt;&gt; 45022SH3505 | HONDA &gt;&gt; 45022SH3509 | HONDA &gt;&gt; 45022SF1010 | HONDA &gt;&gt; 45022SF1505 | HONDA &gt;&gt; 45022SF1515 | HONDA &gt;&gt; 45022SF1525 | HONDA &gt;&gt; 45022SF1506 | HONDA &gt;&gt; 45022SF1020 | HONDA &gt;&gt; 45022SF1305 | HONDA &gt;&gt; 45022SE0020 | HONDA &gt;&gt; 45022SE0325 | HONDA &gt;&gt; 45022SE0509 | HONDA &gt;&gt; 45022SE0527 | HONDA &gt;&gt; 45022SE1505 | SPIDAN &gt;&gt; 31100 | SPIDAN &gt;&gt; 32132 | SPIDAN &gt;&gt; 32682 | HELLA &gt;&gt; 8DB355005661 | ATE &gt;&gt; 21322 | ATE &gt;&gt; 1304605920202 | ATE &gt;&gt; 605920 | ATE &gt;&gt; 13046059202 | PAGID &gt;&gt; T0012 | VALEO &gt;&gt; 597149 | VALEO &gt;&gt; 597177 | VALEO &gt;&gt; 597055 | VALEO &gt;&gt; 597070 | VALEO &gt;&gt; 597022 | VALEO &gt;&gt; 597028 | VALEO &gt;&gt; 551730 | VALEO &gt;&gt; 597199 | VALEO &gt;&gt; 598248 | BOSCH &gt;&gt; 0986TB2118 | BOSCH &gt;&gt; 460972B | BOSCH &gt;&gt; 0986AB2658 | BOSCH &gt;&gt; 0986460972 | BOSCH &gt;&gt; BP541 | BOSCH &gt;&gt; 986460972 | SACHS &gt;&gt; 111_0135 | LEMFORDER &gt;&gt; 26200 | LEMFORDER &gt;&gt; 26179 | TEXTAR &gt;&gt; 2132215005T4047 | TEXTAR &gt;&gt; 2132215005 | TEXTAR &gt;&gt; 2132201 | TEXTAR &gt;&gt; 2132315005 | JURID &gt;&gt; 2841308 | JURID &gt;&gt; 28413084 | JURID &gt;&gt; 572330J | JURID &gt;&gt; 572329J | JURID &gt;&gt; 571976J | JURID &gt;&gt; 572284J | JURID &gt;&gt; 571976D | BENDIX &gt;&gt; 572330J | BENDIX &gt;&gt; 572330B | BENDIX &gt;&gt; 572330 | BENDIX &gt;&gt; 572329B | BENDIX &gt;&gt; 572284B | BENDIX &gt;&gt; 342041 | FTE &gt;&gt; BL1291A2 | HERTH+BUSS JAKOPARTS &gt;&gt; J3604031 | HERTH+BUSS JAKOPARTS &gt;&gt; J3604023 | LOBRO &gt;&gt; 31100 | QUINTON HAZELL &gt;&gt; BP550 | QUINTON HAZELL &gt;&gt; BLF550 | FERODO &gt;&gt; TAR598 | FERODO &gt;&gt; FSL598 | FERODO &gt;&gt; FDS598 | FERODO &gt;&gt; FP605 | FERODO &gt;&gt; FDB598 | BREMBO &gt;&gt; P28010 | BREMBO &gt;&gt; P28016 | MINTEX &gt;&gt; MLB63 | MINTEX &gt;&gt; MDB1525 | MINTEX &gt;&gt; MDB1374 | MINTEX &gt;&gt; MDB1360 | PEX &gt;&gt; 7326 | PEX &gt;&gt; 7096 | PEX &gt;&gt; 7133 | PEX &gt;&gt; 7096S | ZIMMERMANN &gt;&gt; 213221502 | ZIMMERMANN &gt;&gt; 213221501 | DELPHI &gt;&gt; LP628 | DELPHI &gt;&gt; LP605 | METZGER &gt;&gt; 022902 | MAGNETI MARELLI &gt;&gt; BP0903 | MAGNETI MARELLI &gt;&gt; 363702160904 | MAGNETI MARELLI &gt;&gt; 363702160903 | ROULUNDS RUBBER &gt;&gt; 444781 | ROULUNDS RUBBER &gt;&gt; 657081 | TRISCAN &gt;&gt; 811040977 | TRISCAN &gt;&gt; 8105401610 | TRISCAN &gt;&gt; 811040885 | METELLI &gt;&gt; 2202361 | METELLI &gt;&gt; 2202360 | DOYEN &gt;&gt; GDB0763 | NK &gt;&gt; 222615 | OPTIMAL &gt;&gt; 9458 | OPTIMAL &gt;&gt; 9571 | MAPCO &gt;&gt; 6434 | MEYLE &gt;&gt; 0252132215W | KBP &gt;&gt; BP2011 | ROADHOUSE &gt;&gt; 233702 | ROADHOUSE &gt;&gt; 222902 | ROADHOUSE &gt;&gt; 222802 | ROADHOUSE &gt;&gt; 9571 | REMSA &gt;&gt; 22902 | REMSA &gt;&gt; 22802 | REMSA &gt;&gt; 222902 | REMSA &gt;&gt; 022902 | REMSA &gt;&gt; 022802 | REMSA &gt;&gt; 033702 | JAPANPARTS &gt;&gt; PA423AF | JAPANPARTS &gt;&gt; JPA423 | ICER &gt;&gt; 180755825 | ICER &gt;&gt; 180755396 | ICER &gt;&gt; 180755 | ICER &gt;&gt; 180754 | RAMEDER &gt;&gt; T0610494 | RAMEDER &gt;&gt; T0600071 | QH Benelux &gt;&gt; 2639 | QH Benelux &gt;&gt; 2490 | QH Benelux &gt;&gt; BP550 | QH Benelux &gt;&gt; 022902 | A.B.S. &gt;&gt; 36616 | LPR &gt;&gt; 05P082 | LPR &gt;&gt; 05P071 | TRUSTING &gt;&gt; 2451 | TRUSTING &gt;&gt; 2450 | KAVO PARTS &gt;&gt; KBP2022 | KAVO PARTS &gt;&gt; BP2016 | KAVO PARTS &gt;&gt; BP2011 | MOPROD &gt;&gt; MDP1019 | MOPROD &gt;&gt; MDP1041 | UNIPART &gt;&gt; GBP818AF | TRW &gt;&gt; GDB763 | TRW &gt;&gt; GDB7139 | HAVAM &gt;&gt; RS6310 | HAVAM &gt;&gt; HP2639T | HAVAM &gt;&gt; HP2639 | HAVAM &gt;&gt; HP2490 | ECHLIN INTERNATIONAL &gt;&gt; FT1820 | AKEBONO &gt;&gt; AN264WK | AKEBONO &gt;&gt; AN210K | AKEBONO &gt;&gt; A264WK | FMSI-VERBAND &gt;&gt; 213221500 | FMSI-VERBAND &gt;&gt; 21322150 | FMSI-VERBAND &gt;&gt; 21322 | FMSI-VERBAND &gt;&gt; D3737263 | FMSI-VERBAND &gt;&gt; D03737263 | FMSI-VERBAND &gt;&gt; 21324 | FMSI-VERBAND &gt;&gt; 213231500 | FMSI-VERBAND &gt;&gt; 7263D373 | FMSI-VERBAND &gt;&gt; 21323 | HP (ZEBRA) &gt;&gt; 2639 | HP (ZEBRA) &gt;&gt; HP2639 | ACDelco &gt;&gt; AC444781D | ACDelco &gt;&gt; AC657081D | ROULUNDS BRAKING &gt;&gt; 444781 | ROULUNDS BRAKING &gt;&gt; 657081 | SCT Germany &gt;&gt; SP238 | MK Kashiyama &gt;&gt; D5039M | MK Kashiyama &gt;&gt; D05039 | ASHIKA &gt;&gt; 5004423 | NECTO &gt;&gt; FD6526N | NECTO &gt;&gt; FD6526A | NECTO &gt;&gt; FD6526 | NIPPARTS &gt;&gt; J3604031 | NIPPARTS &gt;&gt; J3604023 | MGA &gt;&gt; 253 | MGA &gt;&gt; MGA253 | Brake ENGINEERING &gt;&gt; PA531 | APEC braking &gt;&gt; PAD584 | FREMAX &gt;&gt; FBP071401 | FREMAX &gt;&gt; FBP0714 | HELLA PAGID &gt;&gt; T0012 | EFI &gt;&gt; EDB598 | KAGER &gt;&gt; 350300 | GIRLING &gt;&gt; 6107639 | GIRLING &gt;&gt; 6104961 | AP &gt;&gt; LP605 | KAWE &gt;&gt; 022902 | KAWE &gt;&gt; 80757 | fri.tech. &gt;&gt; 2451 | fri.tech. &gt;&gt; 2450 | sbs &gt;&gt; 222615 | E.T.F. &gt;&gt; 120479 | CIFAM &gt;&gt; 8222361 | CIFAM &gt;&gt; 8222360 | WOKING &gt;&gt; P329302 | WOKING &gt;&gt; 329302 | SIMER &gt;&gt; 4761 | SIMER &gt;&gt; 476 | RAICAM &gt;&gt; 4520 | FREN-J &gt;&gt; 444781 | BLUE PRINT &gt;&gt; ADH24218 | FIRST LINE &gt;&gt; FBP1387 | FIRST LINE &gt;&gt; 1387 | STOP &gt;&gt; 572330S | MOTAQUIP &gt;&gt; VXL595 | MAFIX &gt;&gt; PL197 | METALFREN &gt;&gt; 00253 | GALFER &gt;&gt; 21075</t>
  </si>
  <si>
    <t>Brake System,  &gt;&gt; AKEBONO | Fitting Position,  &gt;&gt; Front Axle | Height, mm &gt;&gt; 53 | Length, mm &gt;&gt; 129,1 | Thickness/Strength, mm &gt;&gt; 16,8 | WVA Number,  &gt;&gt; 21446 | WVA Number,  &gt;&gt; 21447 | WVA Number,  &gt;&gt; 21448</t>
  </si>
  <si>
    <t>HONDA &gt;&gt; 45022S04A11 | HONDA &gt;&gt; 45022SG0020 | HONDA &gt;&gt; 45022SK7518 | HONDA &gt;&gt; 45022SR3N31 | HONDA &gt;&gt; 45022SG0305 | HONDA &gt;&gt; 45022SG0G10 | HONDA &gt;&gt; 45022SG0G13 | HONDA &gt;&gt; 45022SK7000 | HONDA &gt;&gt; 45022SK7010 | HONDA &gt;&gt; 45022SG0J00 | HONDA &gt;&gt; 45022SG0G11 | HONDA &gt;&gt; 45022SG0G12 | HONDA &gt;&gt; 45022SG0315 | HONDA &gt;&gt; 45022SG0335 | HONDA &gt;&gt; 45022SG0517 | HONDA &gt;&gt; 45022SG0527 | HONDA &gt;&gt; 45022SG0507 | HONDA &gt;&gt; 45022SG0325 | HONDA &gt;&gt; 45022S04A12 | HONDA &gt;&gt; 45022SD4020 | HONDA &gt;&gt; 45022SD4A12 | HONDA &gt;&gt; 45022SF9305 | HONDA &gt;&gt; 45022SG0010 | HONDA &gt;&gt; 45022SG0000 | HONDA &gt;&gt; 45022SD4A13 | HONDA &gt;&gt; 45022SD4E00 | HONDA &gt;&gt; 45022SE0G10 | HONDA &gt;&gt; 45022SD4505 | HONDA &gt;&gt; 45022SD4528 | HONDA &gt;&gt; 45022SD4A11 | HONDA &gt;&gt; 45022SD4A10 | HONDA &gt;&gt; 45022SD4508 | HONDA &gt;&gt; 45022SD4526 | HONDA &gt;&gt; 45022S04A13 | HONDA &gt;&gt; 45022SA4A11 | HONDA &gt;&gt; 45022SA4A12 | HONDA &gt;&gt; 45022SD4000 | HONDA &gt;&gt; 45022SD4010 | HONDA &gt;&gt; 45022SB4010 | ROVER &gt;&gt; GBP90298 | ACURA &gt;&gt; 45022SG0G10 | ACURA &gt;&gt; 45022SG0010 | ACURA &gt;&gt; 45022SD4A10 | SPIDAN &gt;&gt; 31742 | SPIDAN &gt;&gt; 31446 | HELLA &gt;&gt; 8DB355006301 | ATE &gt;&gt; 1304605922202 | ATE &gt;&gt; 13046059222 | ATE &gt;&gt; 20067 | ATE &gt;&gt; 605922 | PAGID &gt;&gt; T3015 | PAGID &gt;&gt; T0370 | VALEO &gt;&gt; 551745 | VALEO &gt;&gt; 597149 | VALEO &gt;&gt; 597177 | VALEO &gt;&gt; 597311 | VALEO &gt;&gt; 598227 | VALEO &gt;&gt; 597022 | VALEO &gt;&gt; 597028 | VALEO &gt;&gt; 597130 | BOSCH &gt;&gt; 0986TB2124 | BOSCH &gt;&gt; 986461125 | BOSCH &gt;&gt; 0986461125 | BOSCH &gt;&gt; 0986424260 | LEMFORDER &gt;&gt; 26254 | TEXTAR &gt;&gt; 2144617505 | TEXTAR &gt;&gt; 2144601 | TEXTAR &gt;&gt; 2006717505 | TEXTAR &gt;&gt; 2190403 | TEXTAR &gt;&gt; 2144617505T4047 | JURID &gt;&gt; 572308J | JURID &gt;&gt; 2841309 | JURID &gt;&gt; 572311J | JURID &gt;&gt; 572309J | BENDIX &gt;&gt; 353308 | BENDIX &gt;&gt; 572309B | BENDIX &gt;&gt; 572309 | BENDIX &gt;&gt; 572308B | BENDIX &gt;&gt; 572308 | BENDIX &gt;&gt; 342037 | BENDIX &gt;&gt; 572311B | BENDIX &gt;&gt; 572309J | FTE &gt;&gt; BL1321A2 | HERTH+BUSS JAKOPARTS &gt;&gt; J3604026 | HERTH+BUSS JAKOPARTS &gt;&gt; J3604022 | LOBRO &gt;&gt; 31742 | QUINTON HAZELL &gt;&gt; BP548 | QUINTON HAZELL &gt;&gt; BLF636 | QUINTON HAZELL &gt;&gt; BLF380 | QUINTON HAZELL &gt;&gt; BLF548 | FERODO &gt;&gt; FDB748 | FERODO &gt;&gt; FP665 | FERODO &gt;&gt; FDB465 | FERODO &gt;&gt; FDB466 | BREMBO &gt;&gt; P28014 | BREMBO &gt;&gt; P28016 | BREMBO &gt;&gt; P28013 | MINTEX &gt;&gt; MDB1589 | MINTEX &gt;&gt; MDB1399 | MINTEX &gt;&gt; MDB1469 | PEX &gt;&gt; 7196 | PEX &gt;&gt; 7197 | ZIMMERMANN &gt;&gt; 214461751 | DELPHI &gt;&gt; LP665 | MAGNETI MARELLI &gt;&gt; BP0738 | MAGNETI MARELLI &gt;&gt; 363702160888 | MAGNETI MARELLI &gt;&gt; 363702160855 | MAGNETI MARELLI &gt;&gt; 363702160738 | ROULUNDS RUBBER &gt;&gt; 472681 | ROULUNDS RUBBER &gt;&gt; 472381 | METELLI &gt;&gt; 2202250 | DOYEN &gt;&gt; GDB3034 | NK &gt;&gt; 222618 | NK &gt;&gt; 222612 | OPTIMAL &gt;&gt; 9652 | OPTIMAL &gt;&gt; 9470 | MAPCO &gt;&gt; 6328 | KBP &gt;&gt; BP2021 | ROADHOUSE &gt;&gt; 240602 | ROADHOUSE &gt;&gt; 232302 | ROADHOUSE &gt;&gt; 225001 | ROADHOUSE &gt;&gt; 223702 | REMSA &gt;&gt; 32302 | REMSA &gt;&gt; 25001 | REMSA &gt;&gt; 032302 | REMSA &gt;&gt; 23702 | REMSA &gt;&gt; 232302 | REMSA &gt;&gt; 040602 | REMSA &gt;&gt; 025001 | REMSA &gt;&gt; 023702 | JAPANPARTS &gt;&gt; PA426AF | JAPANPARTS &gt;&gt; PA421AF | JAPANPARTS &gt;&gt; PA424AF | ICER &gt;&gt; 180962396 | ICER &gt;&gt; 180962 | ICER &gt;&gt; 180704 | RAMEDER &gt;&gt; T0610568 | QH Benelux &gt;&gt; 2726 | QH Benelux &gt;&gt; 2517 | QH Benelux &gt;&gt; BP548 | A.B.S. &gt;&gt; 36708 | A.B.S. &gt;&gt; 36639 | LPR &gt;&gt; 05P579 | LPR &gt;&gt; 05P555 | LPR &gt;&gt; 05P080 | TRUSTING &gt;&gt; 2340 | TRUSTING &gt;&gt; 1740 | MOPROD &gt;&gt; MDP1080 | UNIPART &gt;&gt; GBP837AF | UNIPART &gt;&gt; GBP837 | TRW &gt;&gt; GDB733 | TRW &gt;&gt; GDB3034 | AKEBONO &gt;&gt; AN274WK | AKEBONO &gt;&gt; A274WK | FMSI-VERBAND &gt;&gt; 21446 | FMSI-VERBAND &gt;&gt; 200671750 | FMSI-VERBAND &gt;&gt; 20067175 | FMSI-VERBAND &gt;&gt; 20067 | FMSI-VERBAND &gt;&gt; D4097445 | FMSI-VERBAND &gt;&gt; D4097235 | FMSI-VERBAND &gt;&gt; 7445D409 | FMSI-VERBAND &gt;&gt; 7235D409 | FMSI-VERBAND &gt;&gt; 7235D341 | FMSI-VERBAND &gt;&gt; 21448 | FMSI-VERBAND &gt;&gt; 21447 | HP (ZEBRA) &gt;&gt; 2726 | HP (ZEBRA) &gt;&gt; 2517 | HP (ZEBRA) &gt;&gt; HP2726 | ACDelco &gt;&gt; AC472681D | ACDelco &gt;&gt; AC472381D | ROULUNDS BRAKING &gt;&gt; 472681 | ROULUNDS BRAKING &gt;&gt; 472381 | MK Kashiyama &gt;&gt; D5050M | MK Kashiyama &gt;&gt; D5027M | MK Kashiyama &gt;&gt; D05050 | ASHIKA &gt;&gt; 5004426 | ASHIKA &gt;&gt; 5004424 | ASHIKA &gt;&gt; 5004421 | NECTO &gt;&gt; FD6535A | NECTO &gt;&gt; FD6535 | NIPPARTS &gt;&gt; J3604022 | NIPPARTS &gt;&gt; 3604026 | MGA &gt;&gt; MGA413 | MGA &gt;&gt; 413 | Brake ENGINEERING &gt;&gt; PA917 | Brake ENGINEERING &gt;&gt; PA737 | Brake ENGINEERING &gt;&gt; PA735 | Brake ENGINEERING &gt;&gt; PA567 | APEC braking &gt;&gt; PAD704 | APEC braking &gt;&gt; PAD700 | HELLA PAGID &gt;&gt; T0370 | KAGER &gt;&gt; 350288 | GIRLING &gt;&gt; 6130349 | GIRLING &gt;&gt; 6107339 | AP &gt;&gt; LP665 | KAWE &gt;&gt; 80945 | KAWE &gt;&gt; 80771 | fri.tech. &gt;&gt; 2340 | fri.tech. &gt;&gt; 1740 | sbs &gt;&gt; 222618 | sbs &gt;&gt; 1501222612 | E.T.F. &gt;&gt; 120480 | E.T.F. &gt;&gt; 120371 | CIFAM &gt;&gt; 8222250 | WOKING &gt;&gt; P350301 | WOKING &gt;&gt; P337302 | WOKING &gt;&gt; 223302 | SIMER &gt;&gt; 4311 | FREN-J &gt;&gt; 472681 | BLUE PRINT &gt;&gt; ADH24227 | BLUE PRINT &gt;&gt; ADH24223 | FIRST LINE &gt;&gt; 1366 | STOP &gt;&gt; 572309S | MOTAQUIP &gt;&gt; VXL642 | MOTAQUIP &gt;&gt; VBP574 | MAFIX &gt;&gt; PL205 | GALFER &gt;&gt; 21160</t>
  </si>
  <si>
    <t>BSF</t>
  </si>
  <si>
    <t>for Art.No.,  &gt;&gt; 10471 | Width, mm &gt;&gt; 88,8 | Height, mm &gt;&gt; 35,3 | Thickness/Strength, mm &gt;&gt; 13 | Number of Wear Indicators, Per axle &gt;&gt; 2 | Brake System,  &gt;&gt; AKEBONO</t>
  </si>
  <si>
    <t>HONDA &gt;&gt; 06022SP8000 | HONDA &gt;&gt; 43022SR2000 | HONDA &gt;&gt; 43022ST3E50 | HONDA &gt;&gt; 43022SR3000 | HONDA &gt;&gt; 43022SR3010 | HONDA &gt;&gt; 43022ST3E00 | HONDA &gt;&gt; 43022SF1000 | HONDA &gt;&gt; 43022SF1010 | HONDA &gt;&gt; 43022SF1S00 | HONDA &gt;&gt; 43022SF1S01 | HONDA &gt;&gt; 43022SF1315 | ROVER &gt;&gt; GBP90347 | ROVER &gt;&gt; GBP90316AF | ROVER &gt;&gt; GBP90316 | ROVER &gt;&gt; EJP1437 | LOTUS &gt;&gt; GBP90316 | ATE &gt;&gt; 13046059982 | VALEO &gt;&gt; 598053 | BOSCH &gt;&gt; 0986461131 | JURID &gt;&gt; 2842103 | BENDIX &gt;&gt; 572136B | FTE &gt;&gt; BL1288A2 | QUINTON HAZELL &gt;&gt; BP448 | FERODO &gt;&gt; FDB621 | MINTEX &gt;&gt; MDB1411 | DELPHI &gt;&gt; LP625 | ROULUNDS RUBBER &gt;&gt; 422881 | METELLI &gt;&gt; 2201701 | ROADHOUSE &gt;&gt; 223385 | ROADHOUSE &gt;&gt; 223302 | REMSA &gt;&gt; 023385 | REMSA &gt;&gt; 023302 | JAPANPARTS &gt;&gt; PP404AF | ICER &gt;&gt; 180752 | TRUSTING &gt;&gt; 1731 | MOPROD &gt;&gt; MDP1146 | UNIPART &gt;&gt; GBP316 | TRW &gt;&gt; GDB499 | HP (ZEBRA) &gt;&gt; 2638 | PBR &gt;&gt; DB1163 | MK Kashiyama &gt;&gt; D5042M | ASHIKA &gt;&gt; 5104404 | RHIAG &gt;&gt; 10241150 | Brake ENGINEERING &gt;&gt; PA545 | APEC braking &gt;&gt; PAD611 | ABEX &gt;&gt; T6458 | EFI &gt;&gt; EDB621 | E.T.F. &gt;&gt; 120396 | CIFAM &gt;&gt; 8221701 | WOKING &gt;&gt; 3622 | SAMKO &gt;&gt; 05P506 | SIMER &gt;&gt; 442 | FREN-J &gt;&gt; 3294 | MOTAQUIP &gt;&gt; VBP533 | KAISHIN &gt;&gt; D5042M | CHASE &gt;&gt; P677</t>
  </si>
  <si>
    <t>Repair Kit, brake caliper</t>
  </si>
  <si>
    <t>Fitting Position,  &gt;&gt; Left</t>
  </si>
  <si>
    <t>NIPPARTS &gt;&gt; J3824000</t>
  </si>
  <si>
    <t>Repair Kit</t>
  </si>
  <si>
    <t>QUINTON HAZELL</t>
  </si>
  <si>
    <t>Hydraulic Filter, steering system</t>
  </si>
  <si>
    <t>O, mm &gt;&gt; 10</t>
  </si>
  <si>
    <t>Vehicle Equipment &gt;&gt; for vehicles with power steering</t>
  </si>
  <si>
    <t>MAPCO &gt;&gt; 29990</t>
  </si>
  <si>
    <t>Hydraulic Oil</t>
  </si>
  <si>
    <t>Gasket, wet sump</t>
  </si>
  <si>
    <t xml:space="preserve"> &gt;&gt; NBR (nitrile butadiene rubber)</t>
  </si>
  <si>
    <t>HONDA &gt;&gt; 11251P01004 | HONDA &gt;&gt; 11251P1KE00 | HONDA &gt;&gt; 11251PE2004 | HONDA &gt;&gt; 11251PE0004 | HONDA &gt;&gt; 11251PE0020 | ROVER &gt;&gt; LSW100050 | REINZ &gt;&gt; 715228400 | GLASER &gt;&gt; 54262 | PAYEN &gt;&gt; JJ309 | AJUSA &gt;&gt; 14029700 | CORTECO &gt;&gt; 028096P</t>
  </si>
  <si>
    <t>Wet Sump</t>
  </si>
  <si>
    <t>Fuel Pump</t>
  </si>
  <si>
    <t xml:space="preserve"> &gt;&gt; Mechanical | Weight, kg &gt;&gt; 0,4 | Mounting Bores Distance, mm &gt;&gt; 45 | Quantity required,  &gt;&gt; 1 | Bore O 1, mm &gt;&gt; 12</t>
  </si>
  <si>
    <t>Number of ports &gt;&gt; 3</t>
  </si>
  <si>
    <t>HONDA &gt;&gt; 0504408ASHIKA | HONDA &gt;&gt; 06167PE0T00 | HONDA &gt;&gt; PB408JAPANPARTS | HONDA &gt;&gt; 06167PE0000 | HONDA &gt;&gt; 16700PE0023 | HONDA &gt;&gt; J1604008HBJAKOPA | HONDA &gt;&gt; 16700PE0013 | HERTH+BUSS JAKOPARTS &gt;&gt; J1604008 | QUINTON HAZELL &gt;&gt; QFP138 | DELPHI &gt;&gt; MF0044 | NIPPARTS &gt;&gt; J1604008 | BLUE PRINT &gt;&gt; ADH26802 | SOLID AUTO (UK) &gt;&gt; H129006 | NPS &gt;&gt; H160A08 | QH Talbros &gt;&gt; QFP138</t>
  </si>
  <si>
    <t>Pump</t>
  </si>
  <si>
    <t>AKS DASIS</t>
  </si>
  <si>
    <t>Radiator, engine cooling</t>
  </si>
  <si>
    <t xml:space="preserve">Length, mm &gt;&gt; 325 | Width, mm &gt;&gt; 668 | Core Dimensions,  &gt;&gt; 325x668x16 | Weight, g &gt;&gt; 5000 | Depth, mm &gt;&gt; 16 | New Part,  &gt;&gt; </t>
  </si>
  <si>
    <t>HONDA &gt;&gt; 19010PG6003 | HONDA &gt;&gt; 19010PG6013 | HONDA &gt;&gt; 19010PG7013 | HONDA &gt;&gt; 19010PG7003 | HONDA &gt;&gt; 19010PG6014 | HONDA &gt;&gt; 19010PG6024 | HONDA &gt;&gt; 19010PG7017 | HONDA &gt;&gt; 19010PG7024 | VALEO &gt;&gt; 731467 | AKS DASIS &gt;&gt; HD2038 | AKS DASIS &gt;&gt; 25002038 | AKS DASIS &gt;&gt; 0107501 | AURADIA &gt;&gt; KHD038 | NRF &gt;&gt; 526352</t>
  </si>
  <si>
    <t>Heat Exchanger</t>
  </si>
  <si>
    <t>Engine Cooling</t>
  </si>
  <si>
    <t>AVA QUALITY COOLING</t>
  </si>
  <si>
    <t>Core Dimensions,  &gt;&gt; 325x668 | Inlet O, mm &gt;&gt; 28 | Outlet O, mm &gt;&gt; 28</t>
  </si>
  <si>
    <t>from construction year &gt;&gt; 10/1985 | to construction year &gt;&gt; 09/1990 | Transmission Type &gt;&gt; Manual Transmission</t>
  </si>
  <si>
    <t>HONDA &gt;&gt; 19010PG7024 | HONDA &gt;&gt; 19010PG6003 | HONDA &gt;&gt; 19010PG6014 | HONDA &gt;&gt; 19010PG7017 | HONDA &gt;&gt; 19010PG7013 | HONDA &gt;&gt; 19010PG6024 | HONDA &gt;&gt; 19010PG6013 | HONDA &gt;&gt; 19010PG7003 | ACURA &gt;&gt; 19010PG7013 | ACURA &gt;&gt; 19010PG6013 | ACURA &gt;&gt; 19010PG7003 | ACURA &gt;&gt; 19010PG6024 | ACURA &gt;&gt; 19010PG6003 | ACURA &gt;&gt; 19010PG7024 | ACURA &gt;&gt; 19010PG7017 | ACURA &gt;&gt; 19010PG6014 | VAN WEZEL &gt;&gt; 25002038 | GERI &gt;&gt; 30060 | AKS DASIS &gt;&gt; 100750N | SCHLIECKMANN &gt;&gt; 60252058 | SCHLIECKMANN &gt;&gt; 60252038 | AURADIA &gt;&gt; 102122 | SERCK-MARSTON &gt;&gt; 2651901 | NRF &gt;&gt; 526352 | USN &gt;&gt; KHD2038 | VAN HECK &gt;&gt; R10470 | ARD &gt;&gt; HOND5046 | KAGER &gt;&gt; 312405</t>
  </si>
  <si>
    <t>from construction year &gt;&gt; 10/1985 | to construction year &gt;&gt; 09/1990 | Transmission Type &gt;&gt; Automatic Transmission</t>
  </si>
  <si>
    <t>HONDA &gt;&gt; 19010PG7671 | HONDA &gt;&gt; 19010PG7673 | HONDA &gt;&gt; 19010PG7672 | HONDA &gt;&gt; 19010PG7674 | ACURA &gt;&gt; 19010PG7673 | ACURA &gt;&gt; 19010PG7671 | ACURA &gt;&gt; 19010PG7672 | ACURA &gt;&gt; 19010PG7674 | VAN WEZEL &gt;&gt; 25002039 | GERI &gt;&gt; 30062 | AKS DASIS &gt;&gt; 100430N | NISSENS &gt;&gt; 63342 | SERCK-MARSTON &gt;&gt; 2650009 | ARD &gt;&gt; HOND5047</t>
  </si>
  <si>
    <t>PRASCO</t>
  </si>
  <si>
    <t>THERMOTEC</t>
  </si>
  <si>
    <t>Radiator Hose</t>
  </si>
  <si>
    <t xml:space="preserve"> &gt;&gt; from engine to water pipe | Fitting Position,  &gt;&gt; Upper |  &gt;&gt; for vehicles with automatic transmission</t>
  </si>
  <si>
    <t>HONDA &gt;&gt; 19502PA1000 | MITSUBISHI &gt;&gt; MB007635 | GATES &gt;&gt; VFII271 | ORIGINAL IMPERIUM &gt;&gt; 227208</t>
  </si>
  <si>
    <t>Hose Line</t>
  </si>
  <si>
    <t>Radiator</t>
  </si>
  <si>
    <t>Fitting Position &gt;&gt; Upper | Driver Position &gt;&gt; for left-hand drive vehicles</t>
  </si>
  <si>
    <t>HONDA &gt;&gt; 19502PA1000 | MITSUBISHI &gt;&gt; MB007635 | FLENNOR &gt;&gt; 10271</t>
  </si>
  <si>
    <t>ORIGINAL IMPERIUM</t>
  </si>
  <si>
    <t>Fitting Position,  &gt;&gt; Upper |  &gt;&gt; for left-hand drive vehicles |  &gt;&gt; for vehicles with automatic transmission |  &gt;&gt; from engine to water pipe</t>
  </si>
  <si>
    <t>HONDA &gt;&gt; 19502PA1000 | MITSUBISHI &gt;&gt; MB007635 | GATES &gt;&gt; VFII271</t>
  </si>
  <si>
    <t>Clutch Kit</t>
  </si>
  <si>
    <t>Parameter,  &gt;&gt; D 190 | Hub Profile,  &gt;&gt; 20,3 x 19 |  &gt;&gt; with clutch pressure plate |  &gt;&gt; with clutch plate |  &gt;&gt; with releaser</t>
  </si>
  <si>
    <t>HONDA &gt;&gt; 22105PE0505 | HONDA &gt;&gt; 22105PE0535 | HONDA &gt;&gt; 22105PE0525 | LuK &gt;&gt; 619033160 | VALEO &gt;&gt; 801028 | SACHS &gt;&gt; 3000213001 | KCP &gt;&gt; CP8007 | NIPPARTS &gt;&gt; J2004008</t>
  </si>
  <si>
    <t>Teeth Quant.,  &gt;&gt; 19 | O, mm &gt;&gt; 190 |  &gt;&gt; with central slave cylinder</t>
  </si>
  <si>
    <t>LuK &gt;&gt; 619033160 | SACHS &gt;&gt; 3000213001 | HERTH+BUSS JAKOPARTS &gt;&gt; J2004008 | KAVO PARTS &gt;&gt; CP8007 | AISIN &gt;&gt; KH007 | BLUE PRINT &gt;&gt; ADH23013</t>
  </si>
  <si>
    <t>Inner Diameter, mm &gt;&gt; 132 | O, mm &gt;&gt; 190 | Outer Diameter, mm &gt;&gt; 190 | Teeth Quant.,  &gt;&gt; 19 |  &gt;&gt; with central slave cylinder | Weight, kg &gt;&gt; 4,4 | Centering Diameter, mm &gt;&gt; 20 | Quantity required,  &gt;&gt; 1</t>
  </si>
  <si>
    <t>HONDA &gt;&gt; 22105PE0525505 | LuK &gt;&gt; 619033160 | VALEO &gt;&gt; 801028 | SACHS &gt;&gt; 3000213001 | HERTH+BUSS JAKOPARTS &gt;&gt; J2004008 | BORG &amp; BECK &gt;&gt; HK8545 | DELPHI &gt;&gt; HK8545 | NK &gt;&gt; 132605 | JAPANPARTS &gt;&gt; KF404 | KAVO PARTS &gt;&gt; CP8007 | UNIPART &gt;&gt; GCK244AF | AISIN &gt;&gt; KH007 | ASHIKA &gt;&gt; 9204404 | NIPPARTS &gt;&gt; J2004008 | FAI AutoParts &gt;&gt; SS1070 | BLUE PRINT &gt;&gt; ADH23013 | SOLID AUTO (UK) &gt;&gt; H110013 | MOTAQUIP &gt;&gt; VCK160 | MOTAQUIP &gt;&gt; VCK139 | NPS &gt;&gt; H200A08 | IPS Parts &gt;&gt; ICK5400 | JAPKO &gt;&gt; 92404 | KAISHIN &gt;&gt; KH007 | WESTLAKE &gt;&gt; WHO001 | QH Talbros &gt;&gt; QKT184AF</t>
  </si>
  <si>
    <t>Radiator Cap</t>
  </si>
  <si>
    <t>, bar &gt;&gt; 0,9 | , psi &gt;&gt; 13</t>
  </si>
  <si>
    <t>AUDI &gt;&gt; 321121321C | DAIHATSU &gt;&gt; 1640187706 | DAIHATSU &gt;&gt; 1640187709 | LADA &gt;&gt; 210731304010 | LADA &gt;&gt; 21073130401060 | LADA &gt;&gt; 21011304010 | LADA &gt;&gt; 21051304010 | MAZDA &gt;&gt; SE0115205 | MAZDA &gt;&gt; 076615205 | MITSUBISHI &gt;&gt; MB221633 | PORSCHE &gt;&gt; 92810625703 | SUZUKI &gt;&gt; 1792078000 | SUZUKI &gt;&gt; 1792063210 | TOYOTA &gt;&gt; 1640123070 | TOYOTA &gt;&gt; 1640141021 | TOYOTA &gt;&gt; 1640141020 | TOYOTA &gt;&gt; 1640760010 | TOYOTA &gt;&gt; 1640140120 | VW &gt;&gt; 321121321C | MOSKVICH &gt;&gt; 4121304010 | QUINTON HAZELL &gt;&gt; FC62 | FEBI BILSTEIN &gt;&gt; 04496 | KAVO PARTS &gt;&gt; CRC1003 | SWAG &gt;&gt; 54904496 | CALORSTAT by Vernet &gt;&gt; RC0052 | NIPPARTS &gt;&gt; J1545000 | NIPPARTS &gt;&gt; J1542000 | BLUE PRINT &gt;&gt; ADM59902 | BLUE PRINT &gt;&gt; ADM59901 | BLUE PRINT &gt;&gt; ADH29901 | BLUE PRINT &gt;&gt; ADC49901</t>
  </si>
  <si>
    <t>Lid</t>
  </si>
  <si>
    <t>Bolt, radiator cap</t>
  </si>
  <si>
    <t>Height, mm &gt;&gt; 30 | Opening Pressure, bar &gt;&gt; 1</t>
  </si>
  <si>
    <t>DAIHATSU &gt;&gt; 1640187708 | DAIHATSU &gt;&gt; 1640187702 | DAIHATSU &gt;&gt; 1640187709 | HONDA &gt;&gt; 19045PM3004 | HONDA &gt;&gt; 19045PA0014 | HONDA &gt;&gt; 19045PH7003 | HONDA &gt;&gt; 19045634003 | MAZDA &gt;&gt; 19405692003 | MAZDA &gt;&gt; 887115205 | MAZDA &gt;&gt; 298115205 | MAZDA &gt;&gt; 299623921 | MAZDA &gt;&gt; 076615205 | MITSUBISHI &gt;&gt; MB110314 | MITSUBISHI &gt;&gt; MB221633 | NISSAN &gt;&gt; 214309C001 | NISSAN &gt;&gt; 214309C003 | NISSAN &gt;&gt; 2143017B07 | NISSAN &gt;&gt; 2143089907 | SUZUKI &gt;&gt; 1792063210 | TOYOTA &gt;&gt; 1640141021 | TOYOTA &gt;&gt; 1640160010 | TOYOTA &gt;&gt; 1640150010 | TOYOTA &gt;&gt; 1640138011 | TOYOTA &gt;&gt; 1640149015 | HERTH+BUSS JAKOPARTS &gt;&gt; J1545000 | HERTH+BUSS JAKOPARTS &gt;&gt; J1543001 | HERTH+BUSS JAKOPARTS &gt;&gt; J1543000 | HERTH+BUSS JAKOPARTS &gt;&gt; J1542001 | JAPANPARTS &gt;&gt; KHC15 | JAPANPARTS &gt;&gt; KHC14 | JAPANPARTS &gt;&gt; KHC13 | JAPANPARTS &gt;&gt; KHC12 | JAPANPARTS &gt;&gt; KHC11 | KAVO PARTS &gt;&gt; CRC1003 | ASHIKA &gt;&gt; 33C12 | ASHIKA &gt;&gt; 33C11 | ASHIKA &gt;&gt; 330CC12 | ASHIKA &gt;&gt; 330CC11 | BLUE PRINT &gt;&gt; ADM59901 | BLUE PRINT &gt;&gt; ADC49901 | NPS &gt;&gt; M155I02 | NPS &gt;&gt; M155A01 | NPS &gt;&gt; H155A01</t>
  </si>
  <si>
    <t>Screw</t>
  </si>
  <si>
    <t>Shaft Seal, crankshaft</t>
  </si>
  <si>
    <t>Fitting Position,  &gt;&gt; Transmission End | Height, mm &gt;&gt; 10 |  &gt;&gt; MVQ (Silicone Elastomer) | Inner Diameter, mm &gt;&gt; 80 | Outer Diameter, mm &gt;&gt; 100 | Radial Shaft Seal Design,  &gt;&gt; 827S RD |  &gt;&gt; Clockwise rotation</t>
  </si>
  <si>
    <t>HONDA &gt;&gt; 91214PH1004 | HONDA &gt;&gt; 91214PH1661 | HONDA &gt;&gt; 91214PE1721 | HONDA &gt;&gt; 91214PH1003 | HONDA &gt;&gt; 91214PC6013 | HONDA &gt;&gt; 91214PD2004 | HONDA &gt;&gt; 91212PTO004 | HONDA &gt;&gt; 91214PC6003 | HONDA &gt;&gt; 91214PH3751 | HONDA &gt;&gt; 91214PR4A01 | REINZ &gt;&gt; 815332300 | GLASER &gt;&gt; P7767201 | CORTECO &gt;&gt; 19027827B | CORTECO &gt;&gt; 19026038B | CORTECO &gt;&gt; 19016488B</t>
  </si>
  <si>
    <t>Seal</t>
  </si>
  <si>
    <t>Crankshaft Drive</t>
  </si>
  <si>
    <t>Crankshaft</t>
  </si>
  <si>
    <t>GLYCO</t>
  </si>
  <si>
    <t>Big End Bearings</t>
  </si>
  <si>
    <t>Standard Size [STD],  &gt;&gt;  | Component No.,  &gt;&gt; 64-456-1</t>
  </si>
  <si>
    <t>HONDA &gt;&gt; 130228PE1S10 | HONDA &gt;&gt; 132117PE1003 | HONDA &gt;&gt; 130228PE1S20 | HONDA &gt;&gt; 132117PE1004</t>
  </si>
  <si>
    <t>Connecting Rod</t>
  </si>
  <si>
    <t>WILMINK GROUP</t>
  </si>
  <si>
    <t>HONDA &gt;&gt; 132117PE1003 | HONDA &gt;&gt; 130228PE1S20 | HONDA &gt;&gt; 130228PE1S10 | HONDA &gt;&gt; 132117PE1004</t>
  </si>
  <si>
    <t>PFI</t>
  </si>
  <si>
    <t>Wheel Hub</t>
  </si>
  <si>
    <t>Fitting Position,  &gt;&gt; Rear Axle | Weight, g &gt;&gt; 1680 | Inner Diameter, mm &gt;&gt; 28 | Outer Diameter, mm &gt;&gt; 134 | Width, mm &gt;&gt; 61</t>
  </si>
  <si>
    <t>HONDA &gt;&gt; 42200SD2008 | ACURA &gt;&gt; 42200SD2005 | SKF &gt;&gt; BR930032 | TIMKEN &gt;&gt; 513050</t>
  </si>
  <si>
    <t>Wheel Bearing Kit</t>
  </si>
  <si>
    <t>Fitting Position,  &gt;&gt; Front Axle left and right | Width, mm &gt;&gt; 40 | Inner Diameter, mm &gt;&gt; 38 | Outer Diameter, mm &gt;&gt; 72</t>
  </si>
  <si>
    <t>HONDA &gt;&gt; 443000SB2966 | HONDA &gt;&gt; 443000SB2964 | HONDA &gt;&gt; 44300SB2963 | HONDA &gt;&gt; 90305691010 | HONDA &gt;&gt; 44300SB2961 | HONDA &gt;&gt; 44300SB2964 | HONDA &gt;&gt; 44300SB2960 | HONDA &gt;&gt; 44300SX8004 | HONDA &gt;&gt; 91055SB2960 | HONDA &gt;&gt; 44300SB2966 | HONDA &gt;&gt; 91051SB2964 | HONDA &gt;&gt; 91051SB2963 | HONDA &gt;&gt; 90681SB0000 | HONDA &gt;&gt; 44300SB2965 | HONDA &gt;&gt; 91051SB2962 | HONDA &gt;&gt; 91051SB2961 | HONDA &gt;&gt; 90683SB0000 | SPIDAN &gt;&gt; 26654 | RUVILLE &gt;&gt; 7413 | SKF &gt;&gt; VKBA1377 | QUINTON HAZELL &gt;&gt; QWB490 | SNR &gt;&gt; R17413 | NK &gt;&gt; 759913 | OPTIMAL &gt;&gt; 911600 | A.B.S. &gt;&gt; 200129 | FAG &gt;&gt; 713617160 | BREDA  LORETT &gt;&gt; CR7078 | FLENNOR &gt;&gt; FR900599 | NIPPARTS &gt;&gt; J4704012 | FIRST LINE &gt;&gt; FBK076</t>
  </si>
  <si>
    <t>Bearing Kit</t>
  </si>
  <si>
    <t>Fitting Position,  &gt;&gt; Rear Axle left and right | Rim, -Hole &gt;&gt; 4 | Width, mm &gt;&gt; 61 | Inner Diameter, mm &gt;&gt; 28 | Outer Diameter, mm &gt;&gt; 134</t>
  </si>
  <si>
    <t>Supplementary Article/Supplementary Info 2 &gt;&gt; with integrated wheel bearing</t>
  </si>
  <si>
    <t>HONDA &gt;&gt; 42200SB2005 | HONDA &gt;&gt; 42200SF4008 | HONDA &gt;&gt; 91252SB2004 | HONDA &gt;&gt; 91252SB2003 | HONDA &gt;&gt; 42200SB2008 | HONDA &gt;&gt; 42400SB2008 | HONDA &gt;&gt; 42400SB2005 | ROVER &gt;&gt; GHK1243 | SKF &gt;&gt; VKBA1378 | QUINTON HAZELL &gt;&gt; QWB591 | SNR &gt;&gt; R17420 | VAICO &gt;&gt; V260009 | BREDA  LORETT &gt;&gt; CR7596 | FLENNOR &gt;&gt; FR901360 | NIPPARTS &gt;&gt; J4714007</t>
  </si>
  <si>
    <t>Inner Diameter, mm &gt;&gt; 38 | Outer Diameter, mm &gt;&gt; 72 | Width, mm &gt;&gt; 40</t>
  </si>
  <si>
    <t>HONDA &gt;&gt; 90305691010 | HONDA &gt;&gt; 44300SB2963 | HONDA &gt;&gt; 44300SB2964 | HONDA &gt;&gt; 443000SB2964 | HONDA &gt;&gt; 443000SB2966 | HONDA &gt;&gt; 91055SB2960 | BENDIX &gt;&gt; 050094B | SKF &gt;&gt; VKBA1377 | HERTH+BUSS JAKOPARTS &gt;&gt; J4704005 | HERTH+BUSS JAKOPARTS &gt;&gt; J4704012 | TRISCAN &gt;&gt; 853010116 | SNR &gt;&gt; R17413 | OPTIMAL &gt;&gt; 911600 | JAPANPARTS &gt;&gt; KK14005 | KAVO PARTS &gt;&gt; WBK2001 | FAG &gt;&gt; 713617160 | ASHIKA &gt;&gt; 4414005 | BLUE PRINT &gt;&gt; ADH28212 | NPS &gt;&gt; H470A07 | JAPKO &gt;&gt; 414005 | A.B.S. &gt;&gt; 200129</t>
  </si>
  <si>
    <t>Inner Diameter, mm &gt;&gt; 25 | Outer Diameter, mm &gt;&gt; 51 | Width, mm &gt;&gt; 44</t>
  </si>
  <si>
    <t>Rim Hole Number &gt;&gt; 4 | Fitting Position &gt;&gt; Rear Axle Left | Fitting Position &gt;&gt; Rear Axle Right | Supplementary Article/Supplementary Info 2 &gt;&gt; with integrated wheel bearing</t>
  </si>
  <si>
    <t>HONDA &gt;&gt; 42200SB2005 | HONDA &gt;&gt; 42200SB2008 | HONDA &gt;&gt; 42400SB2008 | HONDA &gt;&gt; 42400SB2005 | HONDA &gt;&gt; 91252SB2004 | HONDA &gt;&gt; 91252SB2003 | HERTH+BUSS JAKOPARTS &gt;&gt; J4714007 | HERTH+BUSS JAKOPARTS &gt;&gt; J4714006 | SNR &gt;&gt; R17420 | JAPANPARTS &gt;&gt; KK24006 | KAVO PARTS &gt;&gt; WBH2002 | ASHIKA &gt;&gt; 4424006 | BLUE PRINT &gt;&gt; ADH28315 | JAPKO &gt;&gt; 424006</t>
  </si>
  <si>
    <t>Fitting Position,  &gt;&gt; Rear Axle | Outer Diameter, mm &gt;&gt; 134 | Inner Diameter, mm &gt;&gt; 25</t>
  </si>
  <si>
    <t>HONDA &gt;&gt; 42200SB2003 | HONDA &gt;&gt; 42200SF4008 | HONDA &gt;&gt; 42200SB2008 | HONDA &gt;&gt; 42200SB2005 | SKF &gt;&gt; VKBA1378 | HERTH+BUSS JAKOPARTS &gt;&gt; J4714007 | SNR &gt;&gt; R17420 | JAPANPARTS &gt;&gt; KK24006 | FAG &gt;&gt; 713617250 | NTN &gt;&gt; HUB002 | NIPPARTS &gt;&gt; J4714007 | BLUE PRINT &gt;&gt; ADH28315</t>
  </si>
  <si>
    <t>Fitting Position,  &gt;&gt; Rear Axle | Inner Diameter, mm &gt;&gt; 25 | Weight, kg &gt;&gt; 1,650 | Outer Diameter, mm &gt;&gt; 51 | Width, mm &gt;&gt; 44 | Quantity required,  &gt;&gt; 1</t>
  </si>
  <si>
    <t>Fitting Position &gt;&gt; Rear Axle Right | Fitting Position &gt;&gt; Rear Axle Left | Supplementary Article/Supplementary Info 2 &gt;&gt; with integrated wheel bearing | Rim Hole Number &gt;&gt; 4</t>
  </si>
  <si>
    <t>HONDA &gt;&gt; 26739SPIDAN | HONDA &gt;&gt; 42200SB2008 | HONDA &gt;&gt; AFCHASNR10001 | HONDA &gt;&gt; 42200SB2005 | HONDA &gt;&gt; 42400SB2008 | HONDA &gt;&gt; 91252SB2004 | HONDA &gt;&gt; J4714007HBJAKOPA | HONDA &gt;&gt; 42400SB2005 | HONDA &gt;&gt; 91252SB2003 | HONDA &gt;&gt; J4714006HBJAKOPA | SKF &gt;&gt; VKBA1378 | SKF &gt;&gt; VKBA1379 | HERTH+BUSS JAKOPARTS &gt;&gt; J4714007 | HERTH+BUSS JAKOPARTS &gt;&gt; J4714006 | DELPHI &gt;&gt; WBK649 | SNR &gt;&gt; R17419 | SNR &gt;&gt; R17420 | JAPANPARTS &gt;&gt; KK24010 | JAPANPARTS &gt;&gt; KK24006 | KAVO PARTS &gt;&gt; WBH2002 | FAG &gt;&gt; 713617250 | ASHIKA &gt;&gt; 4424006 | NIPPARTS &gt;&gt; J4714007 | FAI AutoParts &gt;&gt; SS1070 | BLUE PRINT &gt;&gt; ADH28315 | FIRST LINE &gt;&gt; FBK360 | NPS &gt;&gt; H471A06 | BRT Bearings &gt;&gt; BRT931 | Automotive Bearings &gt;&gt; ABK931 | QH Talbros &gt;&gt; QWB590</t>
  </si>
  <si>
    <t>Fitting Position,  &gt;&gt; Front Axle left and right | Inner Diameter, mm &gt;&gt; 38 | Weight, kg &gt;&gt; 0,890 | Outer Diameter, mm &gt;&gt; 72 | Width, mm &gt;&gt; 40 | Quantity required,  &gt;&gt; 1</t>
  </si>
  <si>
    <t>HONDA &gt;&gt; 443000SB2966 | HONDA &gt;&gt; 26654SPIDAN | HONDA &gt;&gt; 443000SB2964 | HONDA &gt;&gt; 91055SB2960 | HONDA &gt;&gt; 90305691010 | HONDA &gt;&gt; J4704005HBJAKOPA | HONDA &gt;&gt; J4704012HBJAKOPA | HONDA &gt;&gt; 44300SB2963 | HONDA &gt;&gt; 44300SB2964 | BENDIX &gt;&gt; 050094B | SKF &gt;&gt; VKBA1377 | HERTH+BUSS JAKOPARTS &gt;&gt; J4704012 | HERTH+BUSS JAKOPARTS &gt;&gt; J4704005 | DELPHI &gt;&gt; WBK448 | TRISCAN &gt;&gt; 853010116 | SNR &gt;&gt; R17413 | NK &gt;&gt; 759913 | OPTIMAL &gt;&gt; 911600 | JAPANPARTS &gt;&gt; KK14005 | KAVO PARTS &gt;&gt; WBK2001 | FAG &gt;&gt; 713617160 | ASHIKA &gt;&gt; 4414005 | NIPPARTS &gt;&gt; J4704012 | FAI AutoParts &gt;&gt; SS1070 | BLUE PRINT &gt;&gt; ADH28212 | SOLID AUTO (UK) &gt;&gt; H137002 | FIRST LINE &gt;&gt; FBK076 | NPS &gt;&gt; H470A07 | JAPKO &gt;&gt; 414005 | A.B.S. &gt;&gt; 200129 | BRT Bearings &gt;&gt; BRT948 | Automotive Bearings &gt;&gt; ABK371 | QH Talbros &gt;&gt; QWB886</t>
  </si>
  <si>
    <t>Ignition Cable Kit</t>
  </si>
  <si>
    <t xml:space="preserve">, mm? &gt;&gt; 5,5 | Quantity required,  &gt;&gt; 5 | only available in set,  &gt;&gt; </t>
  </si>
  <si>
    <t>for OE number &gt;&gt; 3625578384</t>
  </si>
  <si>
    <t>HERTH+BUSS JAKOPARTS &gt;&gt; J5390002 | BLUE PRINT &gt;&gt; ADN11614</t>
  </si>
  <si>
    <t>Harness</t>
  </si>
  <si>
    <t>Ignition System</t>
  </si>
  <si>
    <t>JANMOR</t>
  </si>
  <si>
    <t xml:space="preserve"> &gt;&gt; Silicone | Core Dimensions,  &gt;&gt; WIRE WOUND | Outer Diameter, mm &gt;&gt; 7 |  &gt;&gt; Coupling Type DIN |  &gt;&gt; Coupling Type DIN |  &gt;&gt; Coupling Type SAE</t>
  </si>
  <si>
    <t>DAIHATSU &gt;&gt; 1990187282 | SUZUKI &gt;&gt; 3370583X50 | SUZUKI &gt;&gt; 3370586X50 | BERU &gt;&gt; ZEF772 | NGK &gt;&gt; RCLC1201 | BOSCH &gt;&gt; 0986356841 | CHAMPION &gt;&gt; LS04190 | CHAMPION &gt;&gt; LS312190 | CHAMPION &gt;&gt; LS23190 | HERTH+BUSS ELPARTS &gt;&gt; 51278157 | HERTH+BUSS ELPARTS &gt;&gt; J5390002 | HERTH+BUSS ELPARTS &gt;&gt; J5388014 | MAGNETI MARELLI &gt;&gt; 941318111030 | MAGNETI MARELLI &gt;&gt; 941318111025 | MAGNETI MARELLI &gt;&gt; MSK1030 | MAGNETI MARELLI &gt;&gt; MSK1025 | DELCO REMY &gt;&gt; DRL515 | DELCO REMY &gt;&gt; DRL11 | BBT &gt;&gt; ZK1637 | BBT &gt;&gt; ZEF772 | BOUGICORD &gt;&gt; 4021 | BOUGICORD &gt;&gt; 4008 | NIPPARTS &gt;&gt; J5390002 | NIPPARTS &gt;&gt; J5386011 | KAGER &gt;&gt; 641150 | KAGER &gt;&gt; 640138 | KAGER &gt;&gt; 640133 | KAGER &gt;&gt; 640030 | TESLA &gt;&gt; T328B</t>
  </si>
  <si>
    <t xml:space="preserve"> &gt;&gt; EPDM (ethylene propylene diene Monomer (M-class) rubber) | Core Dimensions,  &gt;&gt; KEVLAR | Outer Diameter, mm &gt;&gt; 7 |  &gt;&gt; Coupling Type DIN |  &gt;&gt; Coupling Type DIN |  &gt;&gt; Coupling Type SAE</t>
  </si>
  <si>
    <t xml:space="preserve">Weight, kg &gt;&gt; 0,348 | , mm? &gt;&gt; 5,5 | Quantity required,  &gt;&gt; 1 | only available in set,  &gt;&gt; </t>
  </si>
  <si>
    <t>Specification &gt;&gt; UNIVERSAL TYPE</t>
  </si>
  <si>
    <t>MAZDA &gt;&gt; F80118140ZE11 | MAZDA &gt;&gt; F80118140 | MAZDA &gt;&gt; ZE08181408BB4 | NISSAN &gt;&gt; 2245006E85 | HERTH+BUSS JAKOPARTS &gt;&gt; J5390002 | HERTH+BUSS JAKOPARTS &gt;&gt; J5383033 | HERTH+BUSS JAKOPARTS &gt;&gt; J5381027 | NIPPARTS &gt;&gt; J5390002 | BLUE PRINT &gt;&gt; ADN11614 | MOTAQUIP &gt;&gt; VLS513 | MOTAQUIP &gt;&gt; VLS508 | MOTAQUIP &gt;&gt; VLS505 | MOTAQUIP &gt;&gt; VLS504 | MOTAQUIP &gt;&gt; VLS503 | MOTAQUIP &gt;&gt; VLS640 | MOTAQUIP &gt;&gt; VLS588 | MOTAQUIP &gt;&gt; VLS501 | MOTAQUIP &gt;&gt; VLS551 | MOTAQUIP &gt;&gt; VLS550 | MOTAQUIP &gt;&gt; VLS546 | MOTAQUIP &gt;&gt; VLS547 | MOTAQUIP &gt;&gt; VLS544 | MOTAQUIP &gt;&gt; VLS543 | NPS &gt;&gt; N580N14</t>
  </si>
  <si>
    <t>Spark Plug</t>
  </si>
  <si>
    <t>Electrode Gap, mm &gt;&gt; 1 | Port Type,  &gt;&gt; M4/BRASS SAE | Thread Size,  &gt;&gt; M14x1.25 | Spanner size,  &gt;&gt; 21 |  &gt;&gt; 1 - Earthed Electrode |  &gt;&gt; with gasket seat | Thread Length, mm &gt;&gt; 19</t>
  </si>
  <si>
    <t>Required quantity &gt;&gt; 4</t>
  </si>
  <si>
    <t>BERU &gt;&gt; UXT6SB | BERU &gt;&gt; UX79 | BERU &gt;&gt; UX79P | BERU &gt;&gt; UXT6 | BERU &gt;&gt; UX79PSB | NGK &gt;&gt; 7529 | NGK &gt;&gt; 7075 | NGK &gt;&gt; VLINE15 | NGK &gt;&gt; BP6E | NGK &gt;&gt; 6464 | NGK &gt;&gt; BPR6E | NGK &gt;&gt; BPR5E | NGK &gt;&gt; VLINE21 | NGK &gt;&gt; 4669 | NGK &gt;&gt; BP5E | NGK &gt;&gt; VLINE9 | NGK &gt;&gt; VLINE8 | NGK &gt;&gt; VLINE4 | NGK &gt;&gt; VLINE6 | NGK &gt;&gt; VLINE22 | BOSCH &gt;&gt; 2SUPERPLUS | BOSCH &gt;&gt; 16SUPERPLUS | BOSCH &gt;&gt; 22SUPERPLUS | BOSCH &gt;&gt; WR9D | BOSCH &gt;&gt; WR91 | BOSCH &gt;&gt; WR91X | BOSCH &gt;&gt; WR8D | BOSCH &gt;&gt; WR8LT | BOSCH &gt;&gt; WR7B | BOSCH &gt;&gt; WR78X | BOSCH &gt;&gt; 21SUPERPLUS | BOSCH &gt;&gt; WR78 | BOSCH &gt;&gt; WR5D | BOSCH &gt;&gt; 4SUPERPLUS | BOSCH &gt;&gt; 0242232504 | BOSCH &gt;&gt; 0242232505 | BOSCH &gt;&gt; 1SUPERPLUS | BOSCH &gt;&gt; 3SUPERPLUS | DENSO &gt;&gt; W20TT | DENSO &gt;&gt; W16TT | EYQUEM &gt;&gt; L655 | EYQUEM &gt;&gt; L3 | BRISK &gt;&gt; ALINE21 | BRISK &gt;&gt; ALINE15 | BRISK &gt;&gt; ALINE9 | BRISK &gt;&gt; ALINE8 | BRISK &gt;&gt; ALINE6</t>
  </si>
  <si>
    <t>Electrode Gap, mm &gt;&gt; 1 | Port Type,  &gt;&gt; M4/SAE | Thread Size,  &gt;&gt; M14x1.25 | Spanner size,  &gt;&gt; 21 |  &gt;&gt; 1 - Earthed Electrode |  &gt;&gt; with gasket seat | Thread Length, mm &gt;&gt; 19</t>
  </si>
  <si>
    <t>MITSUBISHI &gt;&gt; MS851238 | OPEL &gt;&gt; 1214008 | OPEL &gt;&gt; 1214803 | OPEL &gt;&gt; 1214007 | HYUNDAI &gt;&gt; 1882211091 | KIA &gt;&gt; 1882211091 | GLAS &gt;&gt; 64 | BERU &gt;&gt; Z21 | BERU &gt;&gt; 14R7DUX | NGK &gt;&gt; 4228 | NGK &gt;&gt; BR6EB11 | NGK &gt;&gt; 3577 | NGK &gt;&gt; BPR6EY11VG4 | NGK &gt;&gt; BPR6EY11 | NGK &gt;&gt; BPR6ES13 | NGK &gt;&gt; 2530 | NGK &gt;&gt; BPR6ESN11 | NGK &gt;&gt; BPR6ES11 | NGK &gt;&gt; BPR6ES11VP4 | NGK &gt;&gt; BPR5EAL11 | NGK &gt;&gt; BPR6E11 | NGK &gt;&gt; VLINE13 | NGK &gt;&gt; VLINE10 | NGK &gt;&gt; 6648 | NGK &gt;&gt; BP6ES11 | NGK &gt;&gt; 1212 | NGK &gt;&gt; 6223 | NGK &gt;&gt; 5339 | NGK &gt;&gt; GR55 | NGK &gt;&gt; 4824 | VALEO &gt;&gt; 246327 | VALEO &gt;&gt; R76H11 | BOSCH &gt;&gt; WR7DCX | BOSCH &gt;&gt; 0242235915 | BOSCH &gt;&gt; W8DX | BOSCH &gt;&gt; W7DX | BOSCH &gt;&gt; 21SUPERPLUS | BOSCH &gt;&gt; 0242235530 | BOSCH &gt;&gt; 0242235707 | BOSCH &gt;&gt; N19 | DENSO &gt;&gt; W20EXRU13 | DENSO &gt;&gt; W20EXRU11 | DENSO &gt;&gt; W20ESRL11 | DENSO &gt;&gt; W20EPRU11 | DENSO &gt;&gt; W20EPRU10 | DENSO &gt;&gt; P20R11 | MAGNETI MARELLI &gt;&gt; F7LC1R | EYQUEM &gt;&gt; RC62LS5 | ACDelco &gt;&gt; CR42CXLSX | ACDelco &gt;&gt; R42XLS6 | ACDelco &gt;&gt; R42XLS11 | ACDelco &gt;&gt; CR42XLSX</t>
  </si>
  <si>
    <t>MITSUBISHI &gt;&gt; MS851238 | OPEL &gt;&gt; 1214008 | OPEL &gt;&gt; 1214803 | OPEL &gt;&gt; 1214007 | HYUNDAI &gt;&gt; 1882211091 | KIA &gt;&gt; 1882211091 | GLAS &gt;&gt; 64 | BERU &gt;&gt; Z21 | BERU &gt;&gt; Z21SB | BERU &gt;&gt; 14R7DUX | NGK &gt;&gt; 4228 | NGK &gt;&gt; BR6EB11 | NGK &gt;&gt; BPR6EY11VG4 | NGK &gt;&gt; BPR6EY11 | NGK &gt;&gt; 3577 | NGK &gt;&gt; BPR6ESN11 | NGK &gt;&gt; BPR6E11 | NGK &gt;&gt; 2530 | NGK &gt;&gt; BPR6ES13 | NGK &gt;&gt; BPR6ES11VP4 | NGK &gt;&gt; BPR6ES11 | NGK &gt;&gt; BP6EY11 | NGK &gt;&gt; BPR5EAL11 | NGK &gt;&gt; VLINE13 | NGK &gt;&gt; VLINE10 | NGK &gt;&gt; 6648 | NGK &gt;&gt; BP6ES11 | NGK &gt;&gt; 1212 | NGK &gt;&gt; 6223 | NGK &gt;&gt; GR55 | NGK &gt;&gt; 5339 | NGK &gt;&gt; 4824 | VALEO &gt;&gt; 246327 | VALEO &gt;&gt; R76H11 | BOSCH &gt;&gt; WR7DCX | BOSCH &gt;&gt; W8DX | BOSCH &gt;&gt; W7DX | BOSCH &gt;&gt; 0242235915 | BOSCH &gt;&gt; 21SUPERPLUS | BOSCH &gt;&gt; 0242235530 | BOSCH &gt;&gt; 0242235707 | BOSCH &gt;&gt; N19 | DENSO &gt;&gt; W20EXRU13 | DENSO &gt;&gt; W20EXRU11 | DENSO &gt;&gt; W20ESRL11 | DENSO &gt;&gt; W20EPRU11 | DENSO &gt;&gt; W20EPRU10 | DENSO &gt;&gt; P20R11 | MAGNETI MARELLI &gt;&gt; F7LC1R | EYQUEM &gt;&gt; RC62LS5 | ACDelco &gt;&gt; R42XLS6 | ACDelco &gt;&gt; R42XLS11 | ACDelco &gt;&gt; CR42XLSX | ACDelco &gt;&gt; CR42CXLSX</t>
  </si>
  <si>
    <t>Electrode Gap, mm &gt;&gt; 0,8 | Port Type,  &gt;&gt; M4/BRASS SAE | Thread Size,  &gt;&gt; M14x1.25 | Spanner size,  &gt;&gt; 21 |  &gt;&gt; 1 - Earthed Electrode |  &gt;&gt; with gasket seat | Thread Length, mm &gt;&gt; 19</t>
  </si>
  <si>
    <t>BERU &gt;&gt; 14R7DPU | BERU &gt;&gt; Z404 | NGK &gt;&gt; 2347 | NGK &gt;&gt; 4055 | NGK &gt;&gt; 6684 | NGK &gt;&gt; 6664 | NGK &gt;&gt; IGR7AG | NGK &gt;&gt; 3903 | NGK &gt;&gt; 6637 | NGK &gt;&gt; IGR7A | NGK &gt;&gt; IGR6A11 | NGK &gt;&gt; 6597 | NGK &gt;&gt; BR7EIX | NGK &gt;&gt; BPR8EIX | NGK &gt;&gt; 3200 | NGK &gt;&gt; 5743 | NGK &gt;&gt; BPR7EIX | NGK &gt;&gt; BPR6EIXLPG | NGK &gt;&gt; BPR6EIX | NGK &gt;&gt; BPR6EIX11 | NGK &gt;&gt; 1497 | NGK &gt;&gt; 3106 | NGK &gt;&gt; BPR5EIX | NGK &gt;&gt; BP7EVX | NGK &gt;&gt; 6687 | NGK &gt;&gt; 7270 | NGK &gt;&gt; LPG2 | NGK &gt;&gt; PGR7A | BOSCH &gt;&gt; 4479 | BOSCH &gt;&gt; 4478 | BOSCH &gt;&gt; WR7KI33S | BOSCH &gt;&gt; WR6KI33S | BOSCH &gt;&gt; 4477 | DENSO &gt;&gt; IW22 | DENSO &gt;&gt; IW20 | DENSO &gt;&gt; IW16 | DENSO &gt;&gt; VW16</t>
  </si>
  <si>
    <t>HONDA &gt;&gt; 9807956148</t>
  </si>
  <si>
    <t>Rotor, distributor</t>
  </si>
  <si>
    <t>Manufacturer Release &gt;&gt; TEC</t>
  </si>
  <si>
    <t>HONDA &gt;&gt; 30103PC3822 | HONDA &gt;&gt; 30103PA1733 | HONDA &gt;&gt; 30103PA1732 | JAPANPARTS &gt;&gt; SR401 | ASHIKA &gt;&gt; 9704401 | BLUE PRINT &gt;&gt; ADH21431 | JAPKO &gt;&gt; 97401</t>
  </si>
  <si>
    <t>Distributor</t>
  </si>
  <si>
    <t>Weight, kg &gt;&gt; 0,028 | Quantity required,  &gt;&gt; 1</t>
  </si>
  <si>
    <t>HONDA &gt;&gt; 1987234042BOSCH | HONDA &gt;&gt; 30103PA1732 | HONDA &gt;&gt; 30103PC3822 | HONDA &gt;&gt; SR401JAPANPARTS | HONDA &gt;&gt; 30103PA1732PE9 | HONDA &gt;&gt; 30103PA1733 | HONDA &gt;&gt; SR400JAPANPARTS | HONDA &gt;&gt; J5334000HBJAKOPA | BERU &gt;&gt; NVL116 | BOSCH &gt;&gt; 1987234042 | HERTH+BUSS JAKOPARTS &gt;&gt; J5334000 | QUINTON HAZELL &gt;&gt; XR95 | JAPANPARTS &gt;&gt; SR401 | FACET &gt;&gt; 37956 | INTERMOTOR &gt;&gt; 48190 | ASHIKA &gt;&gt; 9704401 | ASHIKA &gt;&gt; 9704400 | NIPPARTS &gt;&gt; J5334000 | STANDARD &gt;&gt; 48190 | BLUE PRINT &gt;&gt; ADH21431 | SOLID AUTO (UK) &gt;&gt; H119001 | NPS &gt;&gt; H533A15 | NPS &gt;&gt; H533A00 | JAPKO &gt;&gt; 97401 | JAPKO &gt;&gt; 97400 | C.I. &gt;&gt; XR95 | QH Talbros &gt;&gt; XR95</t>
  </si>
  <si>
    <t>Distributor Cap</t>
  </si>
  <si>
    <t>HONDA &gt;&gt; 30102PD2006 | HONDA &gt;&gt; 30102PD2016 | HERTH+BUSS JAKOPARTS &gt;&gt; J5324004 | JAPANPARTS &gt;&gt; CA404 | ASHIKA &gt;&gt; 12104404 | BLUE PRINT &gt;&gt; ADH21426 | JAPKO &gt;&gt; 121404</t>
  </si>
  <si>
    <t>Cap</t>
  </si>
  <si>
    <t>Weight, kg &gt;&gt; 0,114 | Quantity required,  &gt;&gt; 1</t>
  </si>
  <si>
    <t>HONDA &gt;&gt; 243876VALEO | HONDA &gt;&gt; 12104404ASHIKA | HONDA &gt;&gt; 1987233037BOSCH | HONDA &gt;&gt; CA404JAPANPARTS | HONDA &gt;&gt; 30102PD2006 | HONDA &gt;&gt; 30102PD2016 | HONDA &gt;&gt; J5324004HBJAKOPA | BERU &gt;&gt; VK156 | VALEO &gt;&gt; 243876 | BOSCH &gt;&gt; 1987233037 | HERTH+BUSS JAKOPARTS &gt;&gt; J5324004 | QUINTON HAZELL &gt;&gt; XD162 | JAPANPARTS &gt;&gt; CA404 | FACET &gt;&gt; 27922 | INTERMOTOR &gt;&gt; 45560 | ASHIKA &gt;&gt; 12104404 | NIPPARTS &gt;&gt; J5324004 | STANDARD &gt;&gt; 45560 | BLUE PRINT &gt;&gt; ADH21426 | SOLID AUTO (UK) &gt;&gt; H120005 | NPS &gt;&gt; H532A27 | NPS &gt;&gt; H532A04 | JAPKO &gt;&gt; 121404 | C.I. &gt;&gt; XD162 | QH Talbros &gt;&gt; XD162</t>
  </si>
  <si>
    <t>Shaft Seal, crankshaft| Shaft Seal, camshaft</t>
  </si>
  <si>
    <t>Fitting Position,  &gt;&gt; Transmission End | Thickness/Strength, mm &gt;&gt; 8 |  &gt;&gt; ACM (Polyacrylate) | Height, mm &gt;&gt; 8 | Inner Diameter, mm &gt;&gt; 29 |  &gt;&gt; ACM (Polyacrylate) | Outer Diameter, mm &gt;&gt; 45 | Inner Diameter, mm &gt;&gt; 29 | Radial Shaft Seal Design,  &gt;&gt; 827S LD | Outer Diameter, mm &gt;&gt; 45 |  &gt;&gt; Anti-clockwise rotation | Radial Shaft Seal Design,  &gt;&gt; 827S LD |  &gt;&gt; Anti-clockwise rotation</t>
  </si>
  <si>
    <t>HONDA &gt;&gt; 91213PC6003 | HONDA &gt;&gt; 91213PH1004 | HONDA &gt;&gt; 91213PC6000 | HONDA &gt;&gt; 91214PR4A01 | HONDA &gt;&gt; 91213PD2004 | HONDA &gt;&gt; 91213PE1721 | HONDA &gt;&gt; 91213PH1003 | SUBARU &gt;&gt; 806730110 | REINZ &gt;&gt; 815322400 | ELRING &gt;&gt; 012160 | ELRING &gt;&gt; 12160 | AJUSA &gt;&gt; 15047400 | CORTECO &gt;&gt; 19016486B | FAI AutoParts &gt;&gt; OS312 | BGA &gt;&gt; OS2323 | BGA &gt;&gt; OS6320</t>
  </si>
  <si>
    <t>Shaft Seal, camshaft</t>
  </si>
  <si>
    <t>Engine Timing Control</t>
  </si>
  <si>
    <t>Camshaft</t>
  </si>
  <si>
    <t>Shaft Seal, camshaft| Seal Ring</t>
  </si>
  <si>
    <t>Inner Diameter, mm &gt;&gt; 29 | Outer Diameter, mm &gt;&gt; 45 | Width, mm &gt;&gt; 8 | Radial Shaft Seal Design,  &gt;&gt; AS |  &gt;&gt; Left-hand Twist |  &gt;&gt; MVQ (Silicone Elastomer) |  &gt;&gt; with dust lip</t>
  </si>
  <si>
    <t>HONDA &gt;&gt; 91213PD2004 | HONDA &gt;&gt; 91213P2FA01 | HONDA &gt;&gt; 91213PC6003 | HONDA &gt;&gt; 91213PE1721 | HONDA &gt;&gt; 91213PE1722 | ROVER &gt;&gt; LUC10003 | KIA &gt;&gt; KKY0110602 | KIA &gt;&gt; 0B3C710602A | REINZ &gt;&gt; 815322400 | GLASER &gt;&gt; P7760401 | PAYEN &gt;&gt; NJ313 | AJUSA &gt;&gt; 15007500 | CORTECO &gt;&gt; 19016486 | CORTECO &gt;&gt; 19016486B</t>
  </si>
  <si>
    <t>Shaft Seal, automatic transmission| Shaft Seal, camshaft</t>
  </si>
  <si>
    <t>Inner Diameter 1, mm &gt;&gt; 29 | Outer Diameter 1, mm &gt;&gt; 45 | Height 1, mm &gt;&gt; 8 |  &gt;&gt; MVQ (Silicone Elastomer) |  &gt;&gt; with dust lip</t>
  </si>
  <si>
    <t>HONDA &gt;&gt; 91213PC6003 | HONDA &gt;&gt; 91213PC6000 | HONDA &gt;&gt; 91213PE1722 | HONDA &gt;&gt; 91213PH1013 | HONDA &gt;&gt; 91213PE1721 | HONDA &gt;&gt; 91213PD2004 | SUBARU &gt;&gt; 806730110 | REINZ &gt;&gt; 815322400 | ELRING &gt;&gt; 012160 | GLASER &gt;&gt; 77120 | PAYEN &gt;&gt; NJ313 | AJUSA &gt;&gt; 15007500</t>
  </si>
  <si>
    <t>Oil Pressure Switch</t>
  </si>
  <si>
    <t>, bar &gt;&gt; 0,5 | Thread Size,  &gt;&gt; 1/8-GAS | Spanner size,  &gt;&gt; 24 MM</t>
  </si>
  <si>
    <t>NISSAN &gt;&gt; 2524089900 | NISSAN &gt;&gt; 2524089901 | NISSAN &gt;&gt; 25240Y9700 | NISSAN &gt;&gt; 25240D9700 | NISSAN &gt;&gt; 25240Y9501 | NISSAN &gt;&gt; 2524089902 | NISSAN &gt;&gt; 2524089910 | HERTH+BUSS JAKOPARTS &gt;&gt; J5611000 | QUINTON HAZELL &gt;&gt; XOPS12 | JAPANPARTS &gt;&gt; PO100 | ASHIKA &gt;&gt; 1101100 | STANDARD &gt;&gt; 50700 | BorgWarner &gt;&gt; 824331033 | BorgWarner &gt;&gt; 824331031 | BLUE PRINT &gt;&gt; ADN16601 | JAPKO &gt;&gt; 11100</t>
  </si>
  <si>
    <t>Switch</t>
  </si>
  <si>
    <t>Oil Pressure</t>
  </si>
  <si>
    <t>Weight, kg &gt;&gt; 0,042 | , bar &gt;&gt; 0,5 | Quantity required,  &gt;&gt; 1 | Thread Size,  &gt;&gt; 1/8-GAS | Spanner size,  &gt;&gt; 24 MM</t>
  </si>
  <si>
    <t>HONDA &gt;&gt; 37240PT0004 | HONDA &gt;&gt; 37240P2FA01 | HONDA &gt;&gt; 37240PD2004 | HONDA &gt;&gt; 37240PT0003 | HONDA &gt;&gt; 37240PD2003 | HONDA &gt;&gt; 37240PT0013 | HONDA &gt;&gt; 2524089910 | HONDA &gt;&gt; 37240PT0014 | ISUZU &gt;&gt; 894312940 | ISUZU &gt;&gt; 8943129400 | NISSAN &gt;&gt; 2524089901 | NISSAN &gt;&gt; 37240PD2004 | NISSAN &gt;&gt; 37240PD2003 | NISSAN &gt;&gt; 2524089900 | NISSAN &gt;&gt; PO100JAPANPARTS | NISSAN &gt;&gt; J5611000HBJAKOPA | NISSAN &gt;&gt; 894312940 | NISSAN &gt;&gt; 25240Y9501 | NISSAN &gt;&gt; 25240Y9700 | NISSAN &gt;&gt; 2524089910 | NISSAN &gt;&gt; 25240D9700 | NISSAN &gt;&gt; 0986345003BOSCH | NISSAN &gt;&gt; 1101100ASHIKA | NISSAN &gt;&gt; 2524089902 | CHEVROLET &gt;&gt; 94312940 | HELLA &gt;&gt; 6ZL003259781 | BERU &gt;&gt; SPR035 | BERU &gt;&gt; SPR016 | BERU &gt;&gt; SPR014 | BOSCH &gt;&gt; 0986345003 | BOSCH &gt;&gt; 0986345009 | HERTH+BUSS JAKOPARTS &gt;&gt; J5614005 | HERTH+BUSS JAKOPARTS &gt;&gt; J5611000 | QUINTON HAZELL &gt;&gt; XOPS12 | QUINTON HAZELL &gt;&gt; XOPS118 | PEX &gt;&gt; 300059 | PEX &gt;&gt; 300015 | DELPHI &gt;&gt; SW90004 | METZGER &gt;&gt; 0910005 | METZGER &gt;&gt; 0910009 | JAPANPARTS &gt;&gt; PO402 | JAPANPARTS &gt;&gt; PO100 | VEMO &gt;&gt; V40730004 | VEMO &gt;&gt; V26730003 | FACET &gt;&gt; 70059 | FACET &gt;&gt; 70015 | INTERMOTOR &gt;&gt; 50700 | CALORSTAT by Vernet &gt;&gt; OS3538 | ERA &gt;&gt; 330007 | ASHIKA &gt;&gt; 1101100 | ASHIKA &gt;&gt; 1104402 | MEAT &amp; DORIA &gt;&gt; 72002 | NIPPARTS &gt;&gt; J5614005 | NIPPARTS &gt;&gt; J5611000 | JP GROUP &gt;&gt; 1293500509 | STANDARD &gt;&gt; 50700 | TOPRAN &gt;&gt; 202213 | BorgWarner &gt;&gt; 824331033 | BorgWarner &gt;&gt; 824331031 | AUTOMEGA &gt;&gt; 3012520565 | BLUE PRINT &gt;&gt; ADN16601 | SOLID AUTO (UK) &gt;&gt; N125003 | NPS &gt;&gt; N561N00 | JAPKO &gt;&gt; 11402 | JAPKO &gt;&gt; 11100 | QH Talbros &gt;&gt; XOPS12 | QH Talbros &gt;&gt; XOPS118</t>
  </si>
  <si>
    <t>Sender Unit, coolant temperature</t>
  </si>
  <si>
    <t>Thread Size,  &gt;&gt; 1/8-GAS | Spanner size,  &gt;&gt; 12 MM | Fitting Depth, mm &gt;&gt; 24</t>
  </si>
  <si>
    <t>Specification &gt;&gt; TYPE RED</t>
  </si>
  <si>
    <t>DAIHATSU &gt;&gt; 8342087702 | HONDA &gt;&gt; 37750PH2014 | HERTH+BUSS JAKOPARTS &gt;&gt; J5624001 | QUINTON HAZELL &gt;&gt; XTT115 | QUINTON HAZELL &gt;&gt; XTT83 | JAPANPARTS &gt;&gt; BA401 | ASHIKA &gt;&gt; 6404401 | STANDARD &gt;&gt; 52478 | BorgWarner &gt;&gt; 824121219 | JAPKO &gt;&gt; 64401</t>
  </si>
  <si>
    <t>Sensor</t>
  </si>
  <si>
    <t>Coolant Temperature</t>
  </si>
  <si>
    <t>DAIHATSU &gt;&gt; J5624001HBJAKOPA | DAIHATSU &gt;&gt; 8342087702 | HONDA &gt;&gt; J5624001HBJAKOPA | HONDA &gt;&gt; 37750PH2014 | HONDA &gt;&gt; 6404401ASHIKA | HONDA &gt;&gt; BA401JAPANPARTS | HERTH+BUSS JAKOPARTS &gt;&gt; J5624001 | QUINTON HAZELL &gt;&gt; XTT83 | QUINTON HAZELL &gt;&gt; XTT115 | JAPANPARTS &gt;&gt; BA401 | ASHIKA &gt;&gt; 6404401 | NIPPARTS &gt;&gt; J5624001 | BorgWarner &gt;&gt; 824121219</t>
  </si>
  <si>
    <t>RECORD FRANCE</t>
  </si>
  <si>
    <t>Shock Absorber</t>
  </si>
  <si>
    <t xml:space="preserve"> &gt;&gt; Spring-bearing Damper |  &gt;&gt; Gas Pressure |  &gt;&gt; Top pin |  &gt;&gt; Bottom eye</t>
  </si>
  <si>
    <t>SACHS &gt;&gt; 110394 | MONROE &gt;&gt; E1059 | KYB &gt;&gt; 341050</t>
  </si>
  <si>
    <t>Damper</t>
  </si>
  <si>
    <t>Suspension</t>
  </si>
  <si>
    <t xml:space="preserve"> &gt;&gt; Suspension Strut |  &gt;&gt; Oil Pressure</t>
  </si>
  <si>
    <t>SACHS &gt;&gt; 110393 | SACHS &gt;&gt; 110392 | MONROE &gt;&gt; 11072 | KYB &gt;&gt; 633055 | KYB &gt;&gt; 633056</t>
  </si>
  <si>
    <t xml:space="preserve"> &gt;&gt; Spring-bearing Damper |  &gt;&gt; Oil Pressure |  &gt;&gt; Top pin |  &gt;&gt; Bottom eye</t>
  </si>
  <si>
    <t>SACHS &gt;&gt; 110394 | MONROE &gt;&gt; R3729 | KYB &gt;&gt; 441054</t>
  </si>
  <si>
    <t>KONI</t>
  </si>
  <si>
    <t>from construction year &gt;&gt; 07/1990 | Fitting Position &gt;&gt; Front Axle | Lowering [mm] &gt;&gt; 20</t>
  </si>
  <si>
    <t>from construction year &gt;&gt; 07/1990 | Fitting Position &gt;&gt; Rear Axle | Lowering [mm] &gt;&gt; 20</t>
  </si>
  <si>
    <t>MONROE</t>
  </si>
  <si>
    <t xml:space="preserve"> &gt;&gt; Twin-Tube |  &gt;&gt; Oil Pressure |  &gt;&gt; Suspension Strut</t>
  </si>
  <si>
    <t>Fitting Position &gt;&gt; Front Axle | from construction year &gt;&gt; 10/1985 | only in connection with &gt;&gt; AK216</t>
  </si>
  <si>
    <t>HONDA &gt;&gt; 51605SB2936 | HONDA &gt;&gt; 51605SB3961 | HONDA &gt;&gt; 51605SD2014 | HONDA &gt;&gt; 51605SB2996 | HONDA &gt;&gt; 51602SB2933 | HONDA &gt;&gt; 51605SB2933 | HONDA &gt;&gt; 51605SB2935 | HONDA &gt;&gt; 51602SB2935 | HONDA &gt;&gt; 51601SB2933 | HONDA &gt;&gt; 51601SB2934 | HONDA &gt;&gt; 51606SB3961 | HONDA &gt;&gt; 51606SE7004 | HONDA &gt;&gt; 52606SB2935 | HONDA &gt;&gt; 51606SD2014 | HONDA &gt;&gt; 51605SE7004 | HONDA &gt;&gt; 51606SB2935 | HONDA &gt;&gt; 51606SB2996 | HONDA &gt;&gt; 51606SB2933 | ROVER &gt;&gt; GSA458 | ROVER &gt;&gt; GSA457 | ROVER &gt;&gt; GSA2091 | ROVER &gt;&gt; GSA2092 | ROVER &gt;&gt; GSA2075 | ROVER &gt;&gt; GSA2076 | ROVER &gt;&gt; GSA2062 | ROVER &gt;&gt; GSA2063 | ROVER &gt;&gt; GSA2050 | ROVER &gt;&gt; GSA2049 | ROVER &gt;&gt; DBP3959 | ROVER &gt;&gt; DBP3206 | ROVER &gt;&gt; DBP3958 | ROVER &gt;&gt; DBP3205 | ROVER &gt;&gt; GSA972092 | ROVER &gt;&gt; GSA972479 | ROVER &gt;&gt; GSA973501 | ROVER &gt;&gt; GSA973469 | ROVER &gt;&gt; GSA972476 | ROVER &gt;&gt; GSA972477 | ROVER &gt;&gt; GSA972478 | ROVER &gt;&gt; GSA972091 | ROVER &gt;&gt; GSA72319 | ROVER &gt;&gt; GSA72301 | ROVER &gt;&gt; GSA72308 | ROVER &gt;&gt; GSA479 | ROVER &gt;&gt; GSA5501 | ROVER &gt;&gt; GSA477 | ROVER &gt;&gt; GSA478 | ROVER &gt;&gt; GSA476 | ROVER &gt;&gt; GSA475 | ROVER &gt;&gt; GSA473 | ROVER &gt;&gt; GSA474 | ROVER &gt;&gt; GSA464 | ROVER &gt;&gt; GSA472 | ROVER &gt;&gt; GSA460 | ROVER &gt;&gt; GSA461 | BOGE &gt;&gt; 27A04A | BOGE &gt;&gt; 27A040 | BOGE &gt;&gt; 27A05A | BOGE &gt;&gt; 27A050 | BILSTEIN &gt;&gt; VNE4729 | BILSTEIN &gt;&gt; VNE4728 | SACHS &gt;&gt; 110393 | SACHS &gt;&gt; 110392 | QUINTON HAZELL &gt;&gt; 178628 | QUINTON HAZELL &gt;&gt; 178179 | QUINTON HAZELL &gt;&gt; 178178 | QUINTON HAZELL &gt;&gt; 129179 | QUINTON HAZELL &gt;&gt; 129178 | GABRIEL &gt;&gt; G35857 | KYB &gt;&gt; 633093 | KYB &gt;&gt; 633092 | KYB &gt;&gt; 633056 | KYB &gt;&gt; 633055 | KYB &gt;&gt; 333031 | KYB &gt;&gt; 333030 | AL-KO &gt;&gt; 3727I | AL-KO &gt;&gt; 3727D | AL-KO &gt;&gt; 1728 | OPTIMAL &gt;&gt; A67068GL | OPTIMAL &gt;&gt; A67067GR | OPTIMAL &gt;&gt; A3727HR | OPTIMAL &gt;&gt; A3727HL | OPTIMAL &gt;&gt; A1728H</t>
  </si>
  <si>
    <t xml:space="preserve"> &gt;&gt; Top pin |  &gt;&gt; Bottom eye |  &gt;&gt; Twin-Tube |  &gt;&gt; Oil Pressure |  &gt;&gt; Spring-bearing Damper</t>
  </si>
  <si>
    <t>HONDA &gt;&gt; 52610SB2601 | HONDA &gt;&gt; 52611SB3004 | HONDA &gt;&gt; 52611SB3671 | HONDA &gt;&gt; 52611SB3673 | HONDA &gt;&gt; 52611SB3014 | HONDA &gt;&gt; 52611SD2004 | HONDA &gt;&gt; 52611SB2601 | HONDA &gt;&gt; 52611SB2602 | HONDA &gt;&gt; 52610SB2602 | ROVER &gt;&gt; GSA469 | ROVER &gt;&gt; GSA468 | ROVER &gt;&gt; GSA463 | ROVER &gt;&gt; GSA464 | ROVER &gt;&gt; GSA459 | ROVER &gt;&gt; GSA462 | ROVER &gt;&gt; DBP7763 | ROVER &gt;&gt; GSA2051 | ROVER &gt;&gt; DBP464 | ROVER &gt;&gt; DBP3859 | ROVER &gt;&gt; DBP3039 | ROVER &gt;&gt; DBP3041 | ROVER &gt;&gt; GSA5517 | BOGE &gt;&gt; 27A06A | BOGE &gt;&gt; 27A060 | BILSTEIN &gt;&gt; BNE1985 | BILSTEIN &gt;&gt; BNE6316 | SACHS &gt;&gt; 110394 | QUINTON HAZELL &gt;&gt; 127315 | KYB &gt;&gt; 441054 | KYB &gt;&gt; 341050 | AL-KO &gt;&gt; 1728 | OPTIMAL &gt;&gt; A1728H</t>
  </si>
  <si>
    <t>VAN WEZEL</t>
  </si>
  <si>
    <t>Sidewall| Sidewall</t>
  </si>
  <si>
    <t xml:space="preserve"> &gt;&gt; Wheelarch | Fitting Position,  &gt;&gt; Left and right | Fitting Position,  &gt;&gt; Outer wheel-side |  &gt;&gt; Outer section |  &gt;&gt; Repair Panel | Doors,  &gt;&gt; 2-5 | Length 1, mm &gt;&gt; 1250 | Width 1, mm &gt;&gt; 50 |  &gt;&gt; Can be shortened | Height 1, mm &gt;&gt; 20 | Length 1, mm &gt;&gt; 1250 | Sheet Strength, mm &gt;&gt; 0,7 | Width 1, mm &gt;&gt; 50 | Height 1, mm &gt;&gt; 20 |  &gt;&gt; Can be shortened | Sheet Strength, mm &gt;&gt; 0,7 | Quality Grade,  &gt;&gt; DC01 ST12</t>
  </si>
  <si>
    <t>KLOKKERHOLM &gt;&gt; 9600590 | SCHLIECKMANN &gt;&gt; 111590 | BINDER &gt;&gt; 9600590 | AUGROS &gt;&gt; 5498572C | AUGROS &gt;&gt; 54983093</t>
  </si>
  <si>
    <t>Sidewall</t>
  </si>
  <si>
    <t>Side Panel</t>
  </si>
  <si>
    <t>Tie Rod End</t>
  </si>
  <si>
    <t xml:space="preserve"> &gt;&gt; for left-/right-hand traffic | Length, mm &gt;&gt; 72 | Inner Thread, mm &gt;&gt; M12x1,25 | Thread Size,  &gt;&gt; M10x1,25 |  &gt;&gt; with accessories</t>
  </si>
  <si>
    <t>Fitting Position &gt;&gt; Front Axle left and right | Fitting Position &gt;&gt; Outer</t>
  </si>
  <si>
    <t>HONDA &gt;&gt; 53540611000 | HONDA &gt;&gt; 53540SB2013 | HONDA &gt;&gt; 53540SC2003 | HONDA &gt;&gt; 53540SC2004 | HONDA &gt;&gt; 53540611010 | HONDA &gt;&gt; 53540679004 | HONDA &gt;&gt; 53540SB0003 | HONDA &gt;&gt; 53540SB2003 | HONDA &gt;&gt; GSJ274 | HONDA &gt;&gt; 53540SA0003 | HONDA &gt;&gt; 53540611020 | HONDA &gt;&gt; 53540659003 | HONDA &gt;&gt; GSJ226 | ISUZU &gt;&gt; 8941090411 | ROVER &gt;&gt; GSJ274 | SPIDAN &gt;&gt; 44217 | RUVILLE &gt;&gt; 916110 | LEMFORDER &gt;&gt; 1170003 | LEMFORDER &gt;&gt; 1170001 | LEMFORDER &gt;&gt; 11700 | LEMFORDER &gt;&gt; 183000001573 | LEMFORDER &gt;&gt; 1545402 | MONROE &gt;&gt; L40001 | BENDIX &gt;&gt; 040720B | HERTH+BUSS JAKOPARTS &gt;&gt; J4824000 | QUINTON HAZELL &gt;&gt; QR2157S | PEX &gt;&gt; 1202162 | DELPHI &gt;&gt; TA923 | METZGER &gt;&gt; 54022208 | METZGER &gt;&gt; HO100 | TRISCAN &gt;&gt; 850040001 | NK &gt;&gt; 5032601 | OPTIMAL &gt;&gt; G1676 | MAPCO &gt;&gt; 59319 | MOOG &gt;&gt; ROES3448 | MOOG &gt;&gt; ROES2095 | MOOG &gt;&gt; 34ES3448 | MOOG &gt;&gt; ES2095R | SIDEM &gt;&gt; 47034 | SIDEM &gt;&gt; 59230 | OCAP &gt;&gt; 0283533 | OCAP &gt;&gt; 0280987 | OCAP &gt;&gt; 0282533 | CTR &gt;&gt; CEHO1 | 555 &gt;&gt; SE6021 | BLUE PRINT &gt;&gt; ADH28702 | RTS &gt;&gt; 9106508 | FIRST LINE &gt;&gt; FTR4078 | TALOSA &gt;&gt; 4202839</t>
  </si>
  <si>
    <t>Inner Thread, mm &gt;&gt; M12X1,25 |  &gt;&gt; with right-hand thread | Length, mm &gt;&gt; 90</t>
  </si>
  <si>
    <t>Fitting Position &gt;&gt; Outer wheel-side | Fitting Position &gt;&gt; Left | Fitting Position &gt;&gt; Right | Fitting Position &gt;&gt; Timing End</t>
  </si>
  <si>
    <t>HONDA &gt;&gt; 53540SA0003 | HONDA &gt;&gt; 53540611010 | HONDA &gt;&gt; 53540659003 | HONDA &gt;&gt; 53540679004 | HONDA &gt;&gt; 53540SB0003 | HONDA &gt;&gt; 53540SC2003 | HONDA &gt;&gt; 53540SC2004 | HONDA &gt;&gt; 53540SB2003 | HONDA &gt;&gt; 53540SB2013 | SPIDAN &gt;&gt; 44217 | SPIDAN &gt;&gt; 40718 | LEMFORDER &gt;&gt; 1170003 | LEMFORDER &gt;&gt; 11700 | MONROE &gt;&gt; L40001 | HERTH+BUSS JAKOPARTS &gt;&gt; J4824000 | DELPHI &gt;&gt; TA923 | TRISCAN &gt;&gt; 850040001 | OPTIMAL &gt;&gt; G1676 | MOOG &gt;&gt; ROES2095 | SIDEM &gt;&gt; 47034 | SIDEM &gt;&gt; 59230 | MEYLE &gt;&gt; 31160200001 | JAPANPARTS &gt;&gt; TI401 | OCAP &gt;&gt; 0280987 | OCAP &gt;&gt; 280987 | KAVO PARTS &gt;&gt; STE2005 | TRW &gt;&gt; JTE224 | ASHIKA &gt;&gt; 11104401 | BLUE PRINT &gt;&gt; ADH28702 | NPS &gt;&gt; H410A02 | JAPKO &gt;&gt; 111401 | A.B.S. &gt;&gt; 230140</t>
  </si>
  <si>
    <t>FIRST LINE</t>
  </si>
  <si>
    <t xml:space="preserve"> &gt;&gt; with right-hand thread |  &gt;&gt; with internal thread | Thread Measurement 1,  &gt;&gt; M12x1.25</t>
  </si>
  <si>
    <t>Fitting Position &gt;&gt; Front Axle | Fitting Position &gt;&gt; Left | Fitting Position &gt;&gt; Right | Fitting Position &gt;&gt; Outer</t>
  </si>
  <si>
    <t>HONDA &gt;&gt; 53540671010 | HONDA &gt;&gt; 53540611020 | HONDA &gt;&gt; 53540634000 | HONDA &gt;&gt; 53540659003 | HONDA &gt;&gt; 53540679004 | HONDA &gt;&gt; 53540SB2002 | HONDA &gt;&gt; 53540SC2004 | HONDA &gt;&gt; 53540611010 | HONDA &gt;&gt; 53540SB2013 | HONDA &gt;&gt; 53540SC2003 | HONDA &gt;&gt; 53540SA0002 | HONDA &gt;&gt; 53540SB0003 | HONDA &gt;&gt; 53540SA0003 | ROVER &gt;&gt; GSJ187 | ROVER &gt;&gt; GSJ281 | ROVER &gt;&gt; GSJ277 | ROVER &gt;&gt; GSJ274 | ROVER &gt;&gt; GSJ226 | SPIDAN &gt;&gt; 44217 | SPIDAN &gt;&gt; 40718 | SACHS &gt;&gt; RE0549 | SACHS &gt;&gt; RE0516 | LEMFORDER &gt;&gt; 1170003 | LEMFORDER &gt;&gt; 1170001 | LEMFORDER &gt;&gt; 5371830001 | LEMFORDER &gt;&gt; 11700 | LEMFORDER &gt;&gt; 183000001573 | MONROE &gt;&gt; L40001 | BENDIX &gt;&gt; 040720B | HERTH+BUSS JAKOPARTS &gt;&gt; J4824000 | QUINTON HAZELL &gt;&gt; QR2156S | QUINTON HAZELL &gt;&gt; QR1685S | QUINTON HAZELL &gt;&gt; QR2156 | QUINTON HAZELL &gt;&gt; QR1685 | PEX &gt;&gt; 1202162 | DELPHI &gt;&gt; TA923 | TRISCAN &gt;&gt; 870040001 | TRISCAN &gt;&gt; 850040001 | NK &gt;&gt; 5032601 | OPTIMAL &gt;&gt; G1676 | MAPCO &gt;&gt; 59319 | MOOG &gt;&gt; ES2095R | MOOG &gt;&gt; ROES3448 | MOOG &gt;&gt; ROES2095 | SIDEM &gt;&gt; Z225 | SIDEM &gt;&gt; 59230 | SIDEM &gt;&gt; 47034 | MEYLE &gt;&gt; 31160200001 | OCAP &gt;&gt; 284612 | OCAP &gt;&gt; 0284612 | OCAP &gt;&gt; 280987 | OCAP &gt;&gt; 0282533 | OCAP &gt;&gt; 0280987 | MOPROD &gt;&gt; MTR2156 | MOPROD &gt;&gt; MTR1685 | TRW &gt;&gt; ES2095R | TRW &gt;&gt; JTE224 | CTR &gt;&gt; CEHO1 | FLENNOR &gt;&gt; FL565B | 555 &gt;&gt; SE6021 | MGA &gt;&gt; DR5201 | MGA &gt;&gt; DR5189 | SASIC &gt;&gt; 9006474 | FAI AutoParts &gt;&gt; SS313 | BLUE PRINT &gt;&gt; ADH28702 | SOLID AUTO (UK) &gt;&gt; H131001 | RTS &gt;&gt; 9106508 | MOTAQUIP &gt;&gt; VTR466 | MOTAQUIP &gt;&gt; VTR152 | MOTAQUIP &gt;&gt; VSS463 | MOTAQUIP &gt;&gt; VSS152 | MOTAQUIP &gt;&gt; VSS288 | TALOSA &gt;&gt; 4202839 | VEMA &gt;&gt; 22012 | FRAP &gt;&gt; 801 | UNIPART &gt;&gt; UGCGSJ4442 | UNIPART &gt;&gt; GSJ4442 | UNIPART &gt;&gt; GSJ281 | UNIPART &gt;&gt; GSJ274 | UNIPART &gt;&gt; GSJ226 | UNIPART &gt;&gt; GSJ187 | A.B.S. &gt;&gt; 230140</t>
  </si>
  <si>
    <t>Fitting Position,  &gt;&gt; Lower | Inner Thread, mm &gt;&gt; M12X1,25 | Weight, kg &gt;&gt; 0,3 |  &gt;&gt; with right-hand thread | Length, mm &gt;&gt; 90 | Quantity required,  &gt;&gt; 1</t>
  </si>
  <si>
    <t>Fitting Position &gt;&gt; Timing End | Fitting Position &gt;&gt; Right | Fitting Position &gt;&gt; Left | Fitting Position &gt;&gt; Outer wheel-side</t>
  </si>
  <si>
    <t>HONDA &gt;&gt; 53540659003 | HONDA &gt;&gt; 44217SPIDAN | HONDA &gt;&gt; 53540611010 | HONDA &gt;&gt; 230140ABS | HONDA &gt;&gt; 47034SIDEM | HONDA &gt;&gt; J4824000HBJAKOPA | HONDA &gt;&gt; 11104401ASHIKA | HONDA &gt;&gt; 53560SH3003 | HONDA &gt;&gt; 40718SPIDAN | HONDA &gt;&gt; 59230SIDEM | HONDA &gt;&gt; TI401JAPANPARTS | HONDA &gt;&gt; TA923DELPHI | HONDA &gt;&gt; 53540679004 | HONDA &gt;&gt; 53540SB2003 | HONDA &gt;&gt; 31160200001MEYLE | HONDA &gt;&gt; 53540SC2004 | HONDA &gt;&gt; 53540SC2003 | HONDA &gt;&gt; ROES2095MOOG | HONDA &gt;&gt; 53540SB2013 | HONDA &gt;&gt; JTE224TRW | HONDA &gt;&gt; 53540SA0003 | HONDA &gt;&gt; 53540SB0003 | SPIDAN &gt;&gt; 44217 | SPIDAN &gt;&gt; 40718 | RUVILLE &gt;&gt; 916110 | LEMFORDER &gt;&gt; 11700 | LEMFORDER &gt;&gt; 1170003 | LEMFORDER &gt;&gt; 1170001 | MONROE &gt;&gt; L40001 | BENDIX &gt;&gt; 040720B | HERTH+BUSS JAKOPARTS &gt;&gt; J4824000 | QUINTON HAZELL &gt;&gt; QR2157S | PEX &gt;&gt; 1202162 | BORG &amp; BECK &gt;&gt; BTR4078 | BORG &amp; BECK &gt;&gt; BTR4177 | DELPHI &gt;&gt; TA923 | METZGER &gt;&gt; HO100 | METZGER &gt;&gt; 54022208 | TRISCAN &gt;&gt; 850040001 | NK &gt;&gt; 5032601 | OPTIMAL &gt;&gt; G1676 | MAPCO &gt;&gt; 59319 | MOOG &gt;&gt; ROES3448 | MOOG &gt;&gt; ROES2095 | SIDEM &gt;&gt; 47034 | SIDEM &gt;&gt; 59230 | MEYLE &gt;&gt; 31160200001 | JAPANPARTS &gt;&gt; TI401 | A.B.S. &gt;&gt; 230140 | OCAP &gt;&gt; 0280987 | OCAP &gt;&gt; 280987 | KAVO PARTS &gt;&gt; STE2005 | BIRTH &gt;&gt; RD0987 | TRW &gt;&gt; JTE224 | FLENNOR &gt;&gt; FL565B | 555 &gt;&gt; SE6021 | ASHIKA &gt;&gt; 11104401 | NIPPARTS &gt;&gt; J4824000 | MGA &gt;&gt; DR5201 | MGA &gt;&gt; DR5189 | KSP &gt;&gt; STE2005 | SASIC &gt;&gt; 9006474 | FAI AutoParts &gt;&gt; SS313 | JP GROUP &gt;&gt; 4444600309 | KAGER &gt;&gt; 430105 | KAWE &gt;&gt; STE2005 | sbs &gt;&gt; 19065032601 | BLUE PRINT &gt;&gt; ADH28702 | FAI &gt;&gt; SS313 | RTS &gt;&gt; 9106508 | FIRST LINE &gt;&gt; FTR4177 | FIRST LINE &gt;&gt; FTR4078 | MOTAQUIP &gt;&gt; VTR152 | NPS &gt;&gt; H410A02 | VEMA &gt;&gt; 22012 | FRAP &gt;&gt; 801 | JAPKO &gt;&gt; 111401 | QH Talbros &gt;&gt; QR2157S</t>
  </si>
  <si>
    <t>BORG &amp; BECK</t>
  </si>
  <si>
    <t>Fitting Position,  &gt;&gt; Right</t>
  </si>
  <si>
    <t>HONDA &gt;&gt; 53540SA0003 | BIRTH &gt;&gt; RD0987 | TRW &gt;&gt; JTE224</t>
  </si>
  <si>
    <t>Temperature Switch, radiator fan</t>
  </si>
  <si>
    <t>Thread Size,  &gt;&gt; M16x1.5 | Temp. Range, °C &gt;&gt; 90 | Spanner size,  &gt;&gt; 22MM</t>
  </si>
  <si>
    <t>HONDA &gt;&gt; 37760634005 | HONDA &gt;&gt; 37760PB2003 | HONDA &gt;&gt; 37760PA0000 | HERTH+BUSS JAKOPARTS &gt;&gt; J5654000 | QUINTON HAZELL &gt;&gt; XEFS08 | JAPANPARTS &gt;&gt; IV400 | ASHIKA &gt;&gt; 1204400 | STANDARD &gt;&gt; 50340 | BLUE PRINT &gt;&gt; ADH21481 | JAPKO &gt;&gt; 12400</t>
  </si>
  <si>
    <t>Weight, kg &gt;&gt; 0,080 | Thread Size,  &gt;&gt; M16x1.5 | Quantity required,  &gt;&gt; 1 | Spanner size,  &gt;&gt; 22MM | to temperature range, °C &gt;&gt; 87</t>
  </si>
  <si>
    <t>HONDA &gt;&gt; 37760PB2003 | HONDA &gt;&gt; 37760PA0000 | HONDA &gt;&gt; J5654000HBJAKOPA | HONDA &gt;&gt; 37760634005 | HONDA &gt;&gt; IV400JAPANPARTS | HONDA &gt;&gt; 820238VALEO | SUZUKI &gt;&gt; K15012 | VALEO &gt;&gt; 820238 | HERTH+BUSS JAKOPARTS &gt;&gt; J5654000 | QUINTON HAZELL &gt;&gt; XEFS8 | QUINTON HAZELL &gt;&gt; XEFS08 | PEX &gt;&gt; 370034 | BORG &amp; BECK &gt;&gt; BTS80292 | TRISCAN &gt;&gt; 862569092 | JAPANPARTS &gt;&gt; IV400 | VEMO &gt;&gt; V26990014 | FACET &gt;&gt; 75036 | CALORSTAT by Vernet &gt;&gt; TS2644 | ERA &gt;&gt; 330174 | ASHIKA &gt;&gt; 1204400 | NIPPARTS &gt;&gt; J5654000 | BLUE PRINT &gt;&gt; ADH21481 | FIRST LINE &gt;&gt; FTS80292 | NPS &gt;&gt; H565A00 | JAPKO &gt;&gt; 12400 | QH Talbros &gt;&gt; XEFS8</t>
  </si>
  <si>
    <t>Accessory Kit, disc brake pads</t>
  </si>
  <si>
    <t>Brake System,  &gt;&gt; Akebono</t>
  </si>
  <si>
    <t>TEXTAR &gt;&gt; 97200048491 | TRW &gt;&gt; PFK268 | APEC braking &gt;&gt; KIT513</t>
  </si>
  <si>
    <t>Accessory Kit</t>
  </si>
  <si>
    <t>Disc Brake Pad</t>
  </si>
  <si>
    <t>for manufacturer,  &gt;&gt; AKEBONO |  &gt;&gt; Disc Brake</t>
  </si>
  <si>
    <t>HONDA &gt;&gt; 45010820000 | ATE &gt;&gt; 13046003052 | PEX &gt;&gt; 1082 | QH Benelux &gt;&gt; 4882 | APEC braking &gt;&gt; KIT413</t>
  </si>
  <si>
    <t>Water Pump</t>
  </si>
  <si>
    <t>Teeth Quant.,  &gt;&gt; 20 |  &gt;&gt; with water pump seal</t>
  </si>
  <si>
    <t>for OE number &gt;&gt; 19200-PG6-000</t>
  </si>
  <si>
    <t>HONDA &gt;&gt; 19200PG6000 | HONDA &gt;&gt; 19210PG6305 | HONDA &gt;&gt; 19200PG6405 | HERTH+BUSS JAKOPARTS &gt;&gt; J1514016 | JAPANPARTS &gt;&gt; PQ416 | KAVO PARTS &gt;&gt; HW3809 | SALERI &gt;&gt; PA770 | ASHIKA &gt;&gt; 3504416 | BLUE PRINT &gt;&gt; ADH29121 | NPS &gt;&gt; H151A16 | JAPKO &gt;&gt; 35416</t>
  </si>
  <si>
    <t>Coolant Water</t>
  </si>
  <si>
    <t>Weight, kg &gt;&gt; 0,880 | Quantity required,  &gt;&gt; 1</t>
  </si>
  <si>
    <t>HONDA &gt;&gt; 19200PG6000 | HONDA &gt;&gt; 19200PG6405 | HONDA &gt;&gt; 19210PG6305 | HONDA &gt;&gt; WP2071DELPHI | HONDA &gt;&gt; 19200PG6415 | HONDA &gt;&gt; 19200PG6415A | HONDA &gt;&gt; 3504416ASHIKA | HONDA &gt;&gt; PQ416JAPANPARTS | HONDA &gt;&gt; PA770SALERI | HONDA &gt;&gt; HW3809JWP | HONDA &gt;&gt; J1514016HBJAKOPA | SPIDAN &gt;&gt; 91514 | HERTH+BUSS JAKOPARTS &gt;&gt; J1514016 | QUINTON HAZELL &gt;&gt; QCP2740 | BORG &amp; BECK &gt;&gt; BWP1446 | DELPHI &gt;&gt; WP2071 | DELPHI &gt;&gt; DD1308 | MAGNETI MARELLI &gt;&gt; 352316170451 | TRISCAN &gt;&gt; 860040004 | AURADIA &gt;&gt; HDW012 | METELLI &gt;&gt; 240778 | OPTIMAL &gt;&gt; AQ1238 | JWP &gt;&gt; HW3809 | JAPANPARTS &gt;&gt; PQ416 | AIRTEX &gt;&gt; 9115 | HEPU &gt;&gt; P7804 | GK &gt;&gt; 987804 | GMB &gt;&gt; GWHO24A | LPR &gt;&gt; WP0456 | KAVO PARTS &gt;&gt; HW3809 | DOLZ &gt;&gt; H123 | GRAF &gt;&gt; PA778 | KWP &gt;&gt; 10778 | AISIN &gt;&gt; WPH013 | ASHIKA &gt;&gt; 3504416 | Saleri SIL &gt;&gt; PA770 | NIPPARTS &gt;&gt; J1514016 | MGA &gt;&gt; PA778 | FAI AutoParts &gt;&gt; WP2740 | KAGER &gt;&gt; 330442 | BLUE PRINT &gt;&gt; ADH29121 | AQUAPLUS &gt;&gt; 852565 | SOLID AUTO (UK) &gt;&gt; H123014 | FIRST LINE &gt;&gt; FWP1446 | NPS &gt;&gt; H151A16 | IPS Parts &gt;&gt; IPW7416 | BGA &gt;&gt; CP5480T | JAPKO &gt;&gt; 35416 | QH Talbros &gt;&gt; QCP2740</t>
  </si>
  <si>
    <t>Accessory Kit, brake shoes</t>
  </si>
  <si>
    <t>from construction year &gt;&gt; 05/1986 | to construction year &gt;&gt; 05/1990 | Fitting Position &gt;&gt; Rear Axle</t>
  </si>
  <si>
    <t>JURID &gt;&gt; 771238B | BENDIX &gt;&gt; 771238B | FERODO &gt;&gt; FBA49 | TRW &gt;&gt; SFK197 | OJD (QUICK BRAKE) &gt;&gt; 0668</t>
  </si>
  <si>
    <t>Brake Shoes</t>
  </si>
  <si>
    <t>Screw Kit, suspension strut/wheel bearing housing</t>
  </si>
  <si>
    <t>from construction year &gt;&gt; 10/1985 | Fitting Position &gt;&gt; Front Axle</t>
  </si>
  <si>
    <t>Bolt Kit</t>
  </si>
  <si>
    <t>Suspension Strut Housing</t>
  </si>
  <si>
    <t>Sensor Ring, ABS</t>
  </si>
  <si>
    <t>Numb.of teeth,ABS ring,  &gt;&gt; 50</t>
  </si>
  <si>
    <t>INTERPARTS &gt;&gt; ABSHO08</t>
  </si>
  <si>
    <t>Sensor Ring</t>
  </si>
  <si>
    <t>ABS</t>
  </si>
  <si>
    <t>Ball Joint</t>
  </si>
  <si>
    <t>Fitting Position &gt;&gt; Lower | Fitting Position &gt;&gt; Front Axle Left | Fitting Position &gt;&gt; Front Axle Right</t>
  </si>
  <si>
    <t>HONDA &gt;&gt; 51220SH3003 | HONDA &gt;&gt; 51220SE0000 | HONDA &gt;&gt; 51220SF1000 | HONDA &gt;&gt; 51220SH0A01 | HONDA &gt;&gt; 51220SE0003 | HONDA &gt;&gt; 51220SK1013 | HONDA &gt;&gt; 51220SB0003 | HONDA &gt;&gt; 51220SK7003 | HONDA &gt;&gt; 51220SK7013 | SPIDAN &gt;&gt; 40667 | RUVILLE &gt;&gt; 917406 | LEMFORDER &gt;&gt; 1168804 | LEMFORDER &gt;&gt; 11688 | HERTH+BUSS JAKOPARTS &gt;&gt; J4864000 | QUINTON HAZELL &gt;&gt; QSJ1099S | DELPHI &gt;&gt; TC379 | FEBI BILSTEIN &gt;&gt; 19387 | FEBI BILSTEIN &gt;&gt; 15500 | TRISCAN &gt;&gt; 850040040 | MOOG &gt;&gt; HOBJ10427 | SIDEM &gt;&gt; 47281 | MEYLE &gt;&gt; 31160100001 | JAPANPARTS &gt;&gt; BJ404 | OCAP &gt;&gt; 0401679 | OCAP &gt;&gt; 401679 | KAVO PARTS &gt;&gt; SBJ2004 | TRW &gt;&gt; JBJ419 | TRW &gt;&gt; JBJ153 | ASHIKA &gt;&gt; 7304404 | BLUE PRINT &gt;&gt; ADH28607 | COMLINE &gt;&gt; CBJ7109 | NPS &gt;&gt; H420A06 | JAPKO &gt;&gt; 73404 | A.B.S. &gt;&gt; 220076</t>
  </si>
  <si>
    <t>Fitting Position,  &gt;&gt; Lower | Fitting Position,  &gt;&gt; Front Axle | Weight, kg &gt;&gt; 0,416 | Outer Thread, mm &gt;&gt; M12 x 1,5 | Quantity required,  &gt;&gt; 1</t>
  </si>
  <si>
    <t>HONDA &gt;&gt; 51220SE0003 | HONDA &gt;&gt; 47281SIDEM | HONDA &gt;&gt; 51220SB0003 | HONDA &gt;&gt; 220076ABS | HONDA &gt;&gt; 51220SE0000 | HONDA &gt;&gt; BJ404JAPANPARTS | HONDA &gt;&gt; 51220SB0023 | HONDA &gt;&gt; 51220SB0013 | HONDA &gt;&gt; 917406RUVILLE | HONDA &gt;&gt; 51220SF1000 | HONDA &gt;&gt; 15500FEBI | HONDA &gt;&gt; 40667SPIDAN | HONDA &gt;&gt; TC379DELPHI | HONDA &gt;&gt; 7304404ASHIKA | HONDA &gt;&gt; 51220SK7003 | HONDA &gt;&gt; 51220SK7013 | HONDA &gt;&gt; 51220SM0A01 | HONDA &gt;&gt; JBJ419TRW | HONDA &gt;&gt; 51220SK7003SB0 | HONDA &gt;&gt; 51220SF1004 | HONDA &gt;&gt; 51220SH0A01 | HONDA &gt;&gt; 31160100001MEYLE | HONDA &gt;&gt; 51220SK1013 | HONDA &gt;&gt; 51220SH3013 | HONDA &gt;&gt; J4864000HBJAKOPA | HONDA &gt;&gt; HOBJ10427MOOG | HONDA &gt;&gt; 51220SH3003 | HONDA &gt;&gt; 51220SF1100 | SPIDAN &gt;&gt; 40667 | RUVILLE &gt;&gt; 917406 | LEMFORDER &gt;&gt; 11688 | LEMFORDER &gt;&gt; 1168805 | LEMFORDER &gt;&gt; 1168804 | LEMFORDER &gt;&gt; 1168802 | MONROE &gt;&gt; L40040 | BENDIX &gt;&gt; 041366B | HERTH+BUSS JAKOPARTS &gt;&gt; J4864000 | QUINTON HAZELL &gt;&gt; QSJ1099S | PEX &gt;&gt; 1204117 | BORG &amp; BECK &gt;&gt; BBJ5047 | DELPHI &gt;&gt; TC379 | METZGER &gt;&gt; 57014318 | METZGER &gt;&gt; HO601K | METZGER &gt;&gt; HO602K | ROULUNDS RUBBER &gt;&gt; 9306613 | FEBI BILSTEIN &gt;&gt; 15500 | TRISCAN &gt;&gt; 850040040 | NK &gt;&gt; 5042602 | OPTIMAL &gt;&gt; G3619 | MAPCO &gt;&gt; 19503 | MOOG &gt;&gt; HOBJ10427 | SIDEM &gt;&gt; 47281 | MEYLE &gt;&gt; 31160100001 | JAPANPARTS &gt;&gt; BJ404 | A.B.S. &gt;&gt; 220076 | OCAP &gt;&gt; 401679 | OCAP &gt;&gt; 0401679 | TRUSTING &gt;&gt; JBJ419 | KAVO PARTS &gt;&gt; SBJ2004 | TRW &gt;&gt; JBJ419 | TRW &gt;&gt; JBJ153 | CTR &gt;&gt; CBHO4 | FLENNOR &gt;&gt; FL508D | 555 &gt;&gt; SB6102 | ASHIKA &gt;&gt; 7304404 | NIPPARTS &gt;&gt; J4864000 | MGA &gt;&gt; SR5263 | KSP &gt;&gt; 8005074 | FAI AutoParts &gt;&gt; SS113 | JP GROUP &gt;&gt; 3440300509 | KAGER &gt;&gt; 880259 | KAWE &gt;&gt; SBJ2004 | sbs &gt;&gt; 5042602 | sbs &gt;&gt; 19075042602 | TOPRAN &gt;&gt; 850040040 | INDELDIS KX 7 &gt;&gt; SU10640 | BLUE PRINT &gt;&gt; ADH28607 | FAI &gt;&gt; SS113 | SOLID AUTO (UK) &gt;&gt; H130005 | RTS &gt;&gt; 9306613 | FIRST LINE &gt;&gt; FBJ5047 | COMLINE &gt;&gt; CBJ7109 | MOTAQUIP &gt;&gt; VSJ621 | NPS &gt;&gt; H420A06 | VEMA &gt;&gt; 22013 | FRAP &gt;&gt; 1195 | JAPKO &gt;&gt; 73404 | QH Talbros &gt;&gt; QSJ1099S</t>
  </si>
  <si>
    <t>Accessory Kit, brake caliper</t>
  </si>
  <si>
    <t>Brake System,  &gt;&gt; Akebono | Brake System,  &gt;&gt; Lucas | Techn. Info. No.,  &gt;&gt; K0396</t>
  </si>
  <si>
    <t>PAGID &gt;&gt; K0396 | TEXTAR &gt;&gt; 82063000 | TEXTAR &gt;&gt; 97200063091 | MINTEX &gt;&gt; MBA1319A | OJD (QUICK BRAKE) &gt;&gt; 1131319A | HELLA PAGID &gt;&gt; 355201601</t>
  </si>
  <si>
    <t>Brake System,  &gt;&gt; Akebono | Brake System,  &gt;&gt; Lucas | Weight, kg &gt;&gt; 0,086</t>
  </si>
  <si>
    <t>TEXTAR &gt;&gt; 97200063091 | TEXTAR &gt;&gt; 82063000 | MINTEX &gt;&gt; MBA1319A | OJD (QUICK BRAKE) &gt;&gt; 1131319A | HELLA PAGID &gt;&gt; 355201601 | HELLA PAGID &gt;&gt; 8DZ355201601</t>
  </si>
  <si>
    <t>Brake System,  &gt;&gt; Akebono | Brake System,  &gt;&gt; Lucas | Weight, kg &gt;&gt; 0,034 | Techn. Info. No.,  &gt;&gt; 97200 0630 9 1</t>
  </si>
  <si>
    <t>PAGID &gt;&gt; K0396 | TEXTAR &gt;&gt; 97200063091 | MINTEX &gt;&gt; MBA1319A | OJD (QUICK BRAKE) &gt;&gt; 1131319A | HELLA PAGID &gt;&gt; 8DZ355201601 | HELLA PAGID &gt;&gt; 355201601</t>
  </si>
  <si>
    <t>PAGID &gt;&gt; K0396 | TEXTAR &gt;&gt; 82063000 | TEXTAR &gt;&gt; 97200063091 | OJD (QUICK BRAKE) &gt;&gt; 1131319A | HELLA PAGID &gt;&gt; 355201601 | HELLA PAGID &gt;&gt; 8DZ355201601</t>
  </si>
  <si>
    <t>LIQUI MOLY</t>
  </si>
  <si>
    <t>Transmission Oil| Automatic Transmission Oil</t>
  </si>
  <si>
    <t>Manufacturer Restriction &gt;&gt; Normal | Transmission Number &gt;&gt; 4/1</t>
  </si>
  <si>
    <t>Automatic Transmission Oil</t>
  </si>
  <si>
    <t>Oil</t>
  </si>
  <si>
    <t>Automatic Transmission</t>
  </si>
  <si>
    <t>ARAL</t>
  </si>
  <si>
    <t>Automatic Transmission Oil| Manual Transmission Oil| Axle Gear Oil| Central Hydraulic Oil| Power Steering Oil| Transfer Case Oil| Oil, auxiliary drive</t>
  </si>
  <si>
    <t>Transmission Number &gt;&gt; 4/1</t>
  </si>
  <si>
    <t>DIVINOL</t>
  </si>
  <si>
    <t>WOLF</t>
  </si>
  <si>
    <t>Hydraulic Oil| Transmission Oil| Automatic Transmission Oil| Manual Transmission Oil| Power Steering Oil| Transfer Case Oil</t>
  </si>
  <si>
    <t>Hydraulic Oil| Transmission Oil| Automatic Transmission Oil| Manual Transmission Oil| Axle Gear Oil| Central Hydraulic Oil| Power Steering Oil| Transfer Case Oil| Steering Gear Oil</t>
  </si>
  <si>
    <t>CHAMPION LUBRICANTS</t>
  </si>
  <si>
    <t>CASTROL</t>
  </si>
  <si>
    <t>Automatic Transmission Oil| Manual Transmission Oil| Axle Gear Oil| Power Steering Oil| Transfer Case Oil</t>
  </si>
  <si>
    <t>Transmission Type &gt;&gt; 4/1 | Oil Fill Quantity [l] &gt;&gt; 2,4 | Recommended replace interval [km] &gt;&gt; 40000 | Recommended replace interval [years] &gt;&gt; 2</t>
  </si>
  <si>
    <t>VATOIL</t>
  </si>
  <si>
    <t>EUROL</t>
  </si>
  <si>
    <t>Hydraulic Oil| Transmission Oil| Automatic Transmission Oil| Manual Transmission Oil| Axle Gear Oil| Central Hydraulic Oil| Power Steering Oil| Transfer Case Oil| Steering Gear Oil| Hydraulic Oil, convertible top system</t>
  </si>
  <si>
    <t>MOTUL</t>
  </si>
  <si>
    <t>Automatic Transmission Oil| Engine Oil| Manual Transmission Oil| Power Steering Oil| Transfer Case Oil| Oil, auxiliary drive</t>
  </si>
  <si>
    <t>Transmission Number &gt;&gt; 4/1 | Oil Fill Quantity [l] &gt;&gt; 2,4</t>
  </si>
  <si>
    <t>RAVENOL</t>
  </si>
  <si>
    <t>Automatic Transmission Oil| Axle Gear Oil</t>
  </si>
  <si>
    <t xml:space="preserve"> &gt;&gt; Synthetic | Manufacturer Release,  &gt;&gt; Honda 08266-99904, | Manufacturer Release,  &gt;&gt; Honda 08266-99907, | Manufacturer Release,  &gt;&gt; Honda 08200-9005</t>
  </si>
  <si>
    <t>Transmission Number &gt;&gt; 001 4/1</t>
  </si>
  <si>
    <t>HONDA &gt;&gt; 082009001 | HONDA &gt;&gt; 0826699904 | HONDA &gt;&gt; 082009005 | HONDA &gt;&gt; 0826699907</t>
  </si>
  <si>
    <t>Engine Oil| Engine Oil</t>
  </si>
  <si>
    <t>Manufacturer Restriction &gt;&gt; Normal | Engine Code &gt;&gt; EW</t>
  </si>
  <si>
    <t>Engine</t>
  </si>
  <si>
    <t>Engine Oil| Manual Transmission Oil| Transfer Case Oil</t>
  </si>
  <si>
    <t>Engine Code &gt;&gt; EW</t>
  </si>
  <si>
    <t>Transmission Oil| Engine Oil| Engine Oil| Manual Transmission Oil</t>
  </si>
  <si>
    <t>Engine Oil| Manual Transmission Oil| Axle Gear Oil| Transfer Case Oil</t>
  </si>
  <si>
    <t>Engine Oil| Manual Transmission Oil| Power Steering Oil| Transfer Case Oil</t>
  </si>
  <si>
    <t>Engine Oil| Engine Oil| Manual Transmission Oil| Transfer Case Oil</t>
  </si>
  <si>
    <t>Engine Code &gt;&gt; EW | Oil Fill Quantity [l] &gt;&gt; 3,5 | Recommended replace interval [km] &gt;&gt; 10000</t>
  </si>
  <si>
    <t>Transmission Oil| Engine Oil| Engine Oil| Manual Transmission Oil| Axle Gear Oil| Transfer Case Oil</t>
  </si>
  <si>
    <t>Engine Code &gt;&gt; 5/1 | Engine Code &gt;&gt; EW</t>
  </si>
  <si>
    <t>Transmission Oil| Engine Oil| Engine Oil| Manual Transmission Oil| Transfer Case Oil</t>
  </si>
  <si>
    <t>Engine Code &gt;&gt; EW | Oil Fill Quantity [l] &gt;&gt; 3,5</t>
  </si>
  <si>
    <t>Engine Oil| Manual Transmission Oil</t>
  </si>
  <si>
    <t xml:space="preserve"> &gt;&gt; Part Synthetic Oil | Oil Viscosity Classification SAE,  &gt;&gt; 10W-40 | Specification,  &gt;&gt; API SM/CF | Specification,  &gt;&gt; ACEA A3/B4 | Manufacturer Release,  &gt;&gt; MB 229.1, | Manufacturer Release,  &gt;&gt; BMW Special Oil, | Manufacturer Release,  &gt;&gt; VW 500 00 , | Manufacturer Release,  &gt;&gt; VW 505 00, | Manufacturer Release,  &gt;&gt; VW 502 00 , | Manufacturer Release,  &gt;&gt; VW 501 01</t>
  </si>
  <si>
    <t>BMW &gt;&gt; 83219407782 | BMW &gt;&gt; 83219407783 | BMW &gt;&gt; 83219407784 | HONDA &gt;&gt; 08232P99L1LHE | MAZDA &gt;&gt; 452355R | MAZDA &gt;&gt; 450848R | MITSUBISHI &gt;&gt; X1200101 | NISSAN &gt;&gt; KE90099942 | NISSAN &gt;&gt; KE90099942R | NISSAN &gt;&gt; KE90099932 | NISSAN &gt;&gt; KE90099932R | TOYOTA &gt;&gt; 888080825 | TOYOTA &gt;&gt; 888080826 | TOYOTA &gt;&gt; 888080820 | GENERAL MOTORS &gt;&gt; 1942043 | GENERAL MOTORS &gt;&gt; 1942193 | GENERAL MOTORS &gt;&gt; 1942189 | GENERAL MOTORS &gt;&gt; 1942046 | GENERAL MOTORS &gt;&gt; 1942044</t>
  </si>
  <si>
    <t>DYNAMAX</t>
  </si>
  <si>
    <t>Transmission Number &gt;&gt; 5/1</t>
  </si>
  <si>
    <t>Manual Transmission Oil</t>
  </si>
  <si>
    <t>Manual Transmission</t>
  </si>
  <si>
    <t>Transmission Type &gt;&gt; 5/1 | Oil Fill Quantity [l] &gt;&gt; 2,3 | Recommended replace interval [km] &gt;&gt; 40000 | Recommended replace interval [years] &gt;&gt; 2</t>
  </si>
  <si>
    <t>Transmission Number &gt;&gt; 5/1 | Transmission Number &gt;&gt; EW</t>
  </si>
  <si>
    <t>Transmission Number &gt;&gt; 5/1 | Oil Fill Quantity [l] &gt;&gt; 2,3</t>
  </si>
  <si>
    <t xml:space="preserve"> &gt;&gt; Synthetic | Oil Viscosity Classification SAE,  &gt;&gt; 5W-30 | Specification,  &gt;&gt; API SM(EC)/GF-4 | Specification,  &gt;&gt; ACEA A3/B4, C3 | Manufacturer Release,  &gt;&gt; VW 504 00 , | Manufacturer Release,  &gt;&gt; VW 507 00, | Manufacturer Release,  &gt;&gt; MB 229.51, | Manufacturer Release,  &gt;&gt; MB 229.31, | Manufacturer Release,  &gt;&gt; BMW Longlife-04, | Manufacturer Release,  &gt;&gt; Porsche C30 | Manufacturer Release,  &gt;&gt; (Cayenne V6 | Manufacturer Release,  &gt;&gt; und Cayenne Diesel), | Manufacturer Release,  &gt;&gt; Fiat 9.55535-S1</t>
  </si>
  <si>
    <t>FORD &gt;&gt; XO5W30QFS | MERCEDES-BENZ &gt;&gt; A0009899701 | MITSUBISHI &gt;&gt; X1200103 | HYUNDAI &gt;&gt; 520000620 | HYUNDAI &gt;&gt; 520000120</t>
  </si>
  <si>
    <t>Hydraulic Oil| Transmission Oil| Automatic Transmission Oil| Manual Transmission Oil| Axle Gear Oil| Central Hydraulic Oil| Power Steering Oil| Transfer Case Oil</t>
  </si>
  <si>
    <t>Power Steering Oil</t>
  </si>
  <si>
    <t>Power Steering</t>
  </si>
  <si>
    <t>Antifreeze</t>
  </si>
  <si>
    <t>Antifreeze| Antifreeze</t>
  </si>
  <si>
    <t>Fill quantity from [l] &gt;&gt; 5,6</t>
  </si>
  <si>
    <t>Brake Fluid</t>
  </si>
  <si>
    <t>Brake Fluid| Brake Fluid</t>
  </si>
  <si>
    <t>Recommended replace interval [km] &gt;&gt; 40000 | Recommended replace interval [years] &gt;&gt; 2</t>
  </si>
  <si>
    <t>CHRYSLER &gt;&gt; 04549625AD | FORD &gt;&gt; 1114406 | FORD &gt;&gt; 1114407 | FORD &gt;&gt; 1114404 | FORD &gt;&gt; 1114405 | FORD &gt;&gt; 1114403 | FORD &gt;&gt; 1135522 | FORD &gt;&gt; 1135521 | FORD &gt;&gt; 1114402 | FORD &gt;&gt; 1135520 | FORD &gt;&gt; 1135519 | FORD &gt;&gt; 1114401 | FORD &gt;&gt; 1135518 | FORD &gt;&gt; 1135517 | FORD &gt;&gt; 1114400 | FORD &gt;&gt; 1135516 | FORD &gt;&gt; 1135515 | HONDA &gt;&gt; 0820399938 | HONDA &gt;&gt; 0820399931 | MAZDA &gt;&gt; K500W0001B | MERCEDES-BENZ &gt;&gt; A000989080713 | MITSUBISHI &gt;&gt; MZ101244 | SUBARU &gt;&gt; K0579GA100 | SUZUKI &gt;&gt; 990023040D04 | TOYOTA &gt;&gt; 882300090 | VOLVO &gt;&gt; 9437431 | VOLVO &gt;&gt; 9437430 | SSANGYONG &gt;&gt; 117 | GENERAL MOTORS &gt;&gt; 93742652 | FEBI BILSTEIN &gt;&gt; 26461 | SWAG &gt;&gt; 30926461</t>
  </si>
  <si>
    <t>LUCAS ENGINE DRIVE</t>
  </si>
  <si>
    <t>Length, mm &gt;&gt; 887 | Width, mm &gt;&gt; 13</t>
  </si>
  <si>
    <t>AUDI &gt;&gt; 063903137 | AUDI &gt;&gt; 035260849A | BEDFORD &gt;&gt; 94411860 | BEDFORD &gt;&gt; 93891618 | BEDFORD &gt;&gt; 94222880 | BMW &gt;&gt; 64551734669 | DAIHATSU &gt;&gt; 9933200890 | DAIHATSU &gt;&gt; 9932200890 | DAIHATSU &gt;&gt; 9091602060 | DAIHATSU &gt;&gt; 9091602052 | FORD &gt;&gt; 85TF6C301F1A | FORD &gt;&gt; 85TF6C301FA | FORD &gt;&gt; 85TF6C301F2A | FORD &gt;&gt; 722F8620DC | FORD &gt;&gt; 742F8620AA | FORD &gt;&gt; EJ3V0897 | FORD &gt;&gt; 6158124 | FORD &gt;&gt; 6144781 | FORD &gt;&gt; 6158123 | FORD &gt;&gt; 1511349 | HONDA &gt;&gt; 38920PG6006 | HONDA &gt;&gt; 38920PG6004 | HONDA &gt;&gt; 38920PG6003 | ISUZU &gt;&gt; 8941116870 | ISUZU &gt;&gt; 8941675890 | ISUZU &gt;&gt; 8941751700 | ISUZU &gt;&gt; 8941316290 | ISUZU &gt;&gt; 8924252090 | ISUZU &gt;&gt; 4291734 | ISUZU &gt;&gt; 94222880 | ISUZU &gt;&gt; 94411860 | ISUZU &gt;&gt; 93891618 | ISUZU &gt;&gt; 91145737 | ISUZU &gt;&gt; 8942228800 | ISUZU &gt;&gt; 8942252090 | MAZDA &gt;&gt; RF7118381B | MAZDA &gt;&gt; RF7118381C | MAZDA &gt;&gt; RF7118381A | MAZDA &gt;&gt; RF7118381 | MAZDA &gt;&gt; RF2L18380B | MAZDA &gt;&gt; RF7115908 | MAZDA &gt;&gt; R2S215907 | MAZDA &gt;&gt; RF2L18380A | MAZDA &gt;&gt; PN4018381 | MAZDA &gt;&gt; B6SF18381A | MAZDA &gt;&gt; B6SF18381B | MAZDA &gt;&gt; B61H18381A | MAZDA &gt;&gt; B6S718381A | MAZDA &gt;&gt; B6S718381B | MAZDA &gt;&gt; 227618381B | MERCEDES-BENZ &gt;&gt; A0059977692 | MERCEDES-BENZ &gt;&gt; 0059977692 | MITSUBISHI &gt;&gt; MB272651 | MITSUBISHI &gt;&gt; MB167065 | NISSAN &gt;&gt; 11720Y4000 | NISSAN &gt;&gt; 0211791023 | NISSAN &gt;&gt; 11720W0710 | NISSAN &gt;&gt; 11720V2010 | NISSAN &gt;&gt; 0211790526 | NISSAN &gt;&gt; 11720P8000 | NISSAN &gt;&gt; 0211790525 | NISSAN &gt;&gt; 1172083000 | NISSAN &gt;&gt; 1172029500 | NISSAN &gt;&gt; A1720V2010 | NISSAN &gt;&gt; 1172028L01 | NISSAN &gt;&gt; 0211790523 | NISSAN &gt;&gt; 1172016A02 | NISSAN &gt;&gt; 1172005E15 | NISSAN &gt;&gt; 0211790023 | NISSAN &gt;&gt; 1172005E10 | NISSAN &gt;&gt; 1172005E05 | NISSAN &gt;&gt; 1172005E00 | NISSAN &gt;&gt; 0211788523 | NISSAN &gt;&gt; 11920V2000 | NISSAN &gt;&gt; 1192028L00 | NISSAN &gt;&gt; 1175005E10KE | NISSAN &gt;&gt; 1175005E10 | NISSAN &gt;&gt; 1175005E00 | OPEL &gt;&gt; 1340682 | OPEL &gt;&gt; 9201832 | PEUGEOT &gt;&gt; 645701 | TOYOTA &gt;&gt; 9952210904 | TOYOTA &gt;&gt; 9952210901 | TOYOTA &gt;&gt; 9952210900 | TOYOTA &gt;&gt; 9952210892 | TOYOTA &gt;&gt; 9952210890 | TOYOTA &gt;&gt; 9933260905 | TOYOTA &gt;&gt; 9933210905 | TOYOTA &gt;&gt; 993321088078 | TOYOTA &gt;&gt; 9933210890 | TOYOTA &gt;&gt; 9933210880 | TOYOTA &gt;&gt; 9933200905 | TOYOTA &gt;&gt; 9933200900 | TOYOTA &gt;&gt; 993320089001 | TOYOTA &gt;&gt; 9933200890 | TOYOTA &gt;&gt; 9932200900 | TOYOTA &gt;&gt; 9932200890 | TOYOTA &gt;&gt; 9091602061 | TOYOTA &gt;&gt; 9091602060 | TOYOTA &gt;&gt; 9091602055 | TOYOTA &gt;&gt; 9087108905 | VAUXHALL &gt;&gt; 4291734 | VAUXHALL &gt;&gt; 94222880 | VAUXHALL &gt;&gt; 93891618 | VAUXHALL &gt;&gt; 1340682 | VAUXHALL &gt;&gt; 9201832 | VAUXHALL &gt;&gt; 91145737 | VOLVO &gt;&gt; 978383 | VW &gt;&gt; 063903137 | KIA &gt;&gt; 0K65B15907C | ACURA &gt;&gt; 38920PG6004</t>
  </si>
  <si>
    <t>Graphic</t>
  </si>
  <si>
    <t>RAMEDER</t>
  </si>
  <si>
    <t>Snow Chain</t>
  </si>
  <si>
    <t>Accessories</t>
  </si>
  <si>
    <t>ALANKO</t>
  </si>
  <si>
    <t>Voltage, V &gt;&gt; 12 | Alternator Charge Current, A &gt;&gt; 60 | Number of Ribs,  &gt;&gt; 3 | Belt Pulley O, mm &gt;&gt; 55 |  &gt;&gt; Clockwise rotation</t>
  </si>
  <si>
    <t>HONDA &gt;&gt; 31100PG7003 | HONDA &gt;&gt; 31100PG723 | HONDA &gt;&gt; 31100PG6013 | HONDA &gt;&gt; CHA16 | HONDA &gt;&gt; 31100PG7023 | HONDA &gt;&gt; 31100PG7033 | HONDA &gt;&gt; 31100PG7013 | LUCAS ELECTRICAL &gt;&gt; LRA546 | VALEO &gt;&gt; 436516 | BOSCH &gt;&gt; 0986037261 | DENSO &gt;&gt; 1002111351 | DENSO &gt;&gt; 1002111350 | ALANKO &gt;&gt; 441848</t>
  </si>
  <si>
    <t>Technical Information Number &gt;&gt; AEF12</t>
  </si>
  <si>
    <t>HONDA &gt;&gt; 4306SH3J00 | HONDA &gt;&gt; 44305SE0920 | HONDA &gt;&gt; 44305SE0922 | HONDA &gt;&gt; 44305SE0923 | HONDA &gt;&gt; 44305SE0J23 | HONDA &gt;&gt; 44305SE0J22 | HONDA &gt;&gt; 44305SE0J20 | HONDA &gt;&gt; 44305SE0J21 | HONDA &gt;&gt; 44306SE0J25 | HONDA &gt;&gt; 44305SE0G22 | HONDA &gt;&gt; 44305SE0921 | HONDA &gt;&gt; 44305SE0G25 | HONDA &gt;&gt; 44306SE0J24 | HONDA &gt;&gt; 44306SE0J23 | HONDA &gt;&gt; 44305SE0G24 | HONDA &gt;&gt; 44306SE0J22 | HONDA &gt;&gt; 44306SE0J21 | HONDA &gt;&gt; 44306SE0G22 | HONDA &gt;&gt; 44305SE0G23 | HONDA &gt;&gt; 44306SE0J20 | HONDA &gt;&gt; 44306SE0G24 | HONDA &gt;&gt; 44306SE0G23 | HONDA &gt;&gt; 44305SE0924 | HONDA &gt;&gt; 44305SE0912 | HONDA &gt;&gt; 44305SE0913 | HONDA &gt;&gt; 44305SE0G21 | HONDA &gt;&gt; 44306SE0G21 | HONDA &gt;&gt; 44306SE0G20 | HONDA &gt;&gt; 44305SE0G20 | HONDA &gt;&gt; 44306SE0G13 | HONDA &gt;&gt; 44306SE0G12 | HONDA &gt;&gt; 44305SE0G12 | HONDA &gt;&gt; 44305SE0G13 | HONDA &gt;&gt; 44306SE0G11 | HONDA &gt;&gt; 44306SE0G10 | HONDA &gt;&gt; 44306SE0923 | HONDA &gt;&gt; 44306SE0924 | HONDA &gt;&gt; 44305SE7E01 | HONDA &gt;&gt; 44014SE0930 | HONDA &gt;&gt; 44305SE0G11 | HONDA &gt;&gt; 44306SE0922 | HONDA &gt;&gt; 44306SE0921 | HONDA &gt;&gt; 44305SE0G10 | HONDA &gt;&gt; 44306SE0920 | HONDA &gt;&gt; 44306SE0913 | HONDA &gt;&gt; 44306SE0910 | HONDA &gt;&gt; 44305SE0925 | HONDA &gt;&gt; 44306SE0912 | HONDA &gt;&gt; 44306SE0911 | SPIDAN &gt;&gt; 21388 | LOBRO &gt;&gt; 302094 | LOBRO &gt;&gt; 302088 | LOBRO &gt;&gt; 302087 | LOBRO &gt;&gt; 300998 | METELLI &gt;&gt; 151101 | METELLI &gt;&gt; 151045</t>
  </si>
  <si>
    <t>Technical Information Number &gt;&gt; 177C3</t>
  </si>
  <si>
    <t>HONDA &gt;&gt; 44306SB0040 | HONDA &gt;&gt; 44306SA5971 | HONDA &gt;&gt; 44306SB0010 | HONDA &gt;&gt; 44014SE0930 | HONDA &gt;&gt; 44306SA5970 | SPIDAN &gt;&gt; 21388 | SKF &gt;&gt; VKJA5520 | LOBRO &gt;&gt; 302094 | LOBRO &gt;&gt; 300998 | LOBRO &gt;&gt; 300992 | METELLI &gt;&gt; 151113 | METELLI &gt;&gt; 151101 | EAI &gt;&gt; CV22105 | EAI &gt;&gt; CV22103 | URW &gt;&gt; MS812C2 | GLO &gt;&gt; 3581K | NKN.LTD. &gt;&gt; ND61152H | NIPPARTS &gt;&gt; J2824012 | NIPPARTS &gt;&gt; J2824011 | NIPPARTS &gt;&gt; J2824007 | INTERPARTS &gt;&gt; OJ0810 | CIFAM &gt;&gt; 607113 | CIFAM &gt;&gt; 607101 | CDX &gt;&gt; 574 | BLUE PRINT &gt;&gt; ADH28907 | GSP &gt;&gt; 823025 | GSP &gt;&gt; 801001 | VEMA &gt;&gt; 18271 | amk &gt;&gt; TDL8096 | SHAFTEC &gt;&gt; JCV916N</t>
  </si>
  <si>
    <t>Ext. Teeth, wheel side,  &gt;&gt; 27 | Seal diam., mm &gt;&gt; 40 | Int. teeth. wheel side,  &gt;&gt; 32</t>
  </si>
  <si>
    <t>Braking / Drive Dynamics &gt;&gt; for vehicles without ABS | Fitting Position &gt;&gt; Transmission End | Fitting Position &gt;&gt; Front Axle Right</t>
  </si>
  <si>
    <t>HONDA &gt;&gt; 44310S9A300 | INTERPARTS &gt;&gt; IJ6803</t>
  </si>
  <si>
    <t>UFI</t>
  </si>
  <si>
    <t>Outer Diameter, mm &gt;&gt; 85,5 | Inner Diameter 1, mm &gt;&gt; 57 | Outer Diameter 2, mm &gt;&gt; 65 | Outer Diameter 1, mm &gt;&gt; 87 | Thread Size,  &gt;&gt; M 22 X 1.5 | Height, mm &gt;&gt; 81 | Opening Pressure Bypass Valve, bar &gt;&gt; 1</t>
  </si>
  <si>
    <t>to construction year &gt;&gt; 12/1987</t>
  </si>
  <si>
    <t>FORD &gt;&gt; 5007222 | FORD &gt;&gt; 5010965 | HONDA &gt;&gt; 15400PA6004 | HONDA &gt;&gt; 15400PA6405 | HONDA &gt;&gt; 15400PA6305 | HONDA &gt;&gt; 15400689004 | HONDA &gt;&gt; 15400PA6003 | HONDA &gt;&gt; 15000689004 | HONDA &gt;&gt; 15400689003 | ROVER &gt;&gt; BNP3419 | ROVER &gt;&gt; BNP2638 | ROVER &gt;&gt; BNP2637 | MANN-FILTER &gt;&gt; W81581 | MANN-FILTER &gt;&gt; W91414 | BOSCH &gt;&gt; P2015 | BOSCH &gt;&gt; 0986452026 | BOSCH &gt;&gt; O125 | BOSCH &gt;&gt; 0986452015 | KNECHT &gt;&gt; OC77 | PURFLUX &gt;&gt; LS718 | CHAMPION &gt;&gt; E101 | PUROLATOR &gt;&gt; L10291 | QUINTON HAZELL &gt;&gt; WL7130 | FRAM &gt;&gt; PH3531 | CHAMP &gt;&gt; PH2817 | TECNOCAR &gt;&gt; R428 | SOFIMA &gt;&gt; S8240R | AMC Filter &gt;&gt; HO818 | P.B.R. &gt;&gt; BC1146 | CLEAN FILTERS &gt;&gt; DO340 | BALDWIN &gt;&gt; B156 | COOPERS &gt;&gt; Z155 | TEHO &gt;&gt; OK106 | TJ FILTERS &gt;&gt; FB5449 | WIX FILTERS &gt;&gt; 51392 | WOODGATE &gt;&gt; WGL3337 | JAPANPARTS &gt;&gt; FO402S | ALCO FILTER &gt;&gt; SP904 | FILTRON &gt;&gt; OP571 | UNICO FILTER &gt;&gt; LI97814 | GUD FILTERS &gt;&gt; Z155 | VIC &gt;&gt; C804 | FLEETGUARD &gt;&gt; LF3337 | DONALDSON &gt;&gt; P502048 | MOTORCRAFT &gt;&gt; EFL151 | UNIPART &gt;&gt; GFE238 | UNIPART &gt;&gt; GFE483 | UNIPART &gt;&gt; GFE165 | UNIPART &gt;&gt; GFE192 | MONARK &gt;&gt; 030758881 | MECAFILTER &gt;&gt; ELH4145 | ACDelco &gt;&gt; X84 | ASHIKA &gt;&gt; 1004402 | BECK/ARNLEY &gt;&gt; 0418044 | BECK/ARNLEY &gt;&gt; 0410548 | NIPPARTS &gt;&gt; J1314002 | CROSLAND FILTERS &gt;&gt; 369 | COOPERSFIAAM FILTERS &gt;&gt; FT4931 | MOTAQUIP &gt;&gt; VFL156 | JAPKO &gt;&gt; 10402</t>
  </si>
  <si>
    <t>Outer Diameter, mm &gt;&gt; 82 | Inner Diameter 1, mm &gt;&gt; 55 | Outer Diameter 2, mm &gt;&gt; 63 | Outer Diameter 1, mm &gt;&gt; 82 | Thread Size,  &gt;&gt; M 20 X 1.5 | Height, mm &gt;&gt; 99,5 | Opening Pressure Bypass Valve, bar &gt;&gt; 1</t>
  </si>
  <si>
    <t>from construction year &gt;&gt; 01/1988</t>
  </si>
  <si>
    <t>CITROEN &gt;&gt; 1109G5 | FORD &gt;&gt; 5018026 | GMC &gt;&gt; 90485456 | GMC &gt;&gt; 94412815 | GMC &gt;&gt; 94459700 | HONDA &gt;&gt; 15400PH1004 | HONDA &gt;&gt; 15400PH1014 | ISUZU &gt;&gt; 8944128150 | MAZDA &gt;&gt; 817323802 | MAZDA &gt;&gt; HE1923802 | MITSUBISHI &gt;&gt; MD162326 | OPEL &gt;&gt; 649011 | OPEL &gt;&gt; 5650301 | OPEL &gt;&gt; 649008 | ROVER &gt;&gt; LWP10001 | ROVER &gt;&gt; LRF100120 | VAUXHALL &gt;&gt; VOF500 | HITACHI &gt;&gt; 4265246 | HAKO &gt;&gt; 18059 | KUBOTA &gt;&gt; 1627132092 | KUBOTA &gt;&gt; 1627132090 | YANMAR &gt;&gt; 11900535100 | MANN-FILTER &gt;&gt; W81780 | BOSCH &gt;&gt; P2036 | BOSCH &gt;&gt; 0986452036 | BOSCH &gt;&gt; H37 | BOSCH &gt;&gt; 0986TF0082 | BOSCH &gt;&gt; 0986452554 | KNECHT &gt;&gt; OC115 | KNECHT &gt;&gt; OC277 | PURFLUX &gt;&gt; LS705 | CHAMPION &gt;&gt; F208 | PUROLATOR &gt;&gt; L24458 | HERTH+BUSS JAKOPARTS &gt;&gt; J1314010 | HERTH+BUSS JAKOPARTS &gt;&gt; J1313002 | QUINTON HAZELL &gt;&gt; WL7108 | FRAM &gt;&gt; PH2849 | CHAMP &gt;&gt; PH2805 | DELPHI &gt;&gt; FX0080 | TECNOCAR &gt;&gt; R994 | SOFIMA &gt;&gt; S3243R | AMC Filter &gt;&gt; MO519 | AMC Filter &gt;&gt; MO523 | CLEAN FILTERS &gt;&gt; DO327 | CLEAN FILTERS &gt;&gt; DO828 | BALDWIN &gt;&gt; B161S | COOPERS &gt;&gt; Z920 | TEHO &gt;&gt; OK144 | TJ FILTERS &gt;&gt; FB5329 | WIX FILTERS &gt;&gt; 51344 | JAPANPARTS &gt;&gt; FO406S | ALCO FILTER &gt;&gt; SP937 | FILTRON &gt;&gt; OP558 | FILTRON &gt;&gt; OP557 | DONIT FILTER &gt;&gt; 4310132 | GUD FILTERS &gt;&gt; Z218 | VIC &gt;&gt; C805 | VIC &gt;&gt; C406 | FLEETGUARD &gt;&gt; LF3536 | DONALDSON &gt;&gt; P502051 | DONALDSON &gt;&gt; P502050 | MOTORCRAFT &gt;&gt; EFL361 | UNIPART &gt;&gt; GFE314 | UNIPART &gt;&gt; GFE282 | UNIPART &gt;&gt; GFE276 | MECAFILTER &gt;&gt; ELH4255 | ACDelco &gt;&gt; X169 | ACDelco &gt;&gt; X119 | ASHIKA &gt;&gt; 1004406 | BECK/ARNLEY &gt;&gt; 0418062 | BECK/ARNLEY &gt;&gt; 0410749 | NIPPARTS &gt;&gt; J1314010 | NIPPARTS &gt;&gt; J1314006 | NIPPARTS &gt;&gt; J1313002 | CROSLAND FILTERS &gt;&gt; 2071 | COOPERSFIAAM FILTERS &gt;&gt; FT4908 | MOTAQUIP &gt;&gt; VFL224 | JAPKO &gt;&gt; 10406</t>
  </si>
  <si>
    <t>SOFIMA</t>
  </si>
  <si>
    <t>CITROEN &gt;&gt; 1109G5 | FORD &gt;&gt; 5018026 | GMC &gt;&gt; 90485456 | GMC &gt;&gt; 94459700 | GMC &gt;&gt; 94412815 | HONDA &gt;&gt; 15400PH1004 | HONDA &gt;&gt; 15400PH1014 | ISUZU &gt;&gt; 8944128150 | MAZDA &gt;&gt; 817323802 | MAZDA &gt;&gt; HE1923802 | MITSUBISHI &gt;&gt; MD162326 | OPEL &gt;&gt; 649011 | OPEL &gt;&gt; 649008 | OPEL &gt;&gt; 5650301 | ROVER &gt;&gt; LRF100120 | ROVER &gt;&gt; LWP10001 | VAUXHALL &gt;&gt; VOF500 | HITACHI &gt;&gt; 4265246 | HAKO &gt;&gt; 18059 | KUBOTA &gt;&gt; 1627132092 | KUBOTA &gt;&gt; 1627132090 | YANMAR &gt;&gt; 11900535100 | MANN-FILTER &gt;&gt; W81780 | BOSCH &gt;&gt; 0986452036 | BOSCH &gt;&gt; H37 | BOSCH &gt;&gt; 0986TF0082 | BOSCH &gt;&gt; 0986452554 | BOSCH &gt;&gt; P2036 | KNECHT &gt;&gt; OC277 | KNECHT &gt;&gt; OC115 | PURFLUX &gt;&gt; LS705 | CHAMPION &gt;&gt; F208 | PUROLATOR &gt;&gt; L24458 | HERTH+BUSS JAKOPARTS &gt;&gt; J1314010 | HERTH+BUSS JAKOPARTS &gt;&gt; J1313002 | QUINTON HAZELL &gt;&gt; WL7108 | FRAM &gt;&gt; PH2849 | CHAMP &gt;&gt; PH2805 | DELPHI &gt;&gt; FX0080 | TECNOCAR &gt;&gt; R994 | AMC Filter &gt;&gt; MO523 | AMC Filter &gt;&gt; MO519 | CLEAN FILTERS &gt;&gt; DO828 | CLEAN FILTERS &gt;&gt; DO327 | BALDWIN &gt;&gt; B161S | COOPERS &gt;&gt; Z920 | TEHO &gt;&gt; OK144 | TJ FILTERS &gt;&gt; FB5329 | WIX FILTERS &gt;&gt; 51344 | JAPANPARTS &gt;&gt; FO406S | ALCO FILTER &gt;&gt; SP937 | FILTRON &gt;&gt; OP557 | FILTRON &gt;&gt; OP558 | DONIT FILTER &gt;&gt; 4310132 | GUD FILTERS &gt;&gt; Z218 | VIC &gt;&gt; C805 | VIC &gt;&gt; C406 | UFI &gt;&gt; 2324300 | FLEETGUARD &gt;&gt; LF3536 | DONALDSON &gt;&gt; P502051 | DONALDSON &gt;&gt; P502050 | MOTORCRAFT &gt;&gt; EFL361 | UNIPART &gt;&gt; GFE314 | UNIPART &gt;&gt; GFE282 | UNIPART &gt;&gt; GFE276 | MECAFILTER &gt;&gt; ELH4255 | ACDelco &gt;&gt; X169 | ACDelco &gt;&gt; X119 | ASHIKA &gt;&gt; 1004406 | BECK/ARNLEY &gt;&gt; 0410749 | BECK/ARNLEY &gt;&gt; 0418062 | NIPPARTS &gt;&gt; J1314010 | NIPPARTS &gt;&gt; J1314006 | NIPPARTS &gt;&gt; J1313002 | CROSLAND FILTERS &gt;&gt; 2071 | COOPERSFIAAM FILTERS &gt;&gt; FT4908 | MOTAQUIP &gt;&gt; VFL224 | JAPKO &gt;&gt; 10406</t>
  </si>
  <si>
    <t>FORD &gt;&gt; 5007222 | FORD &gt;&gt; 5010965 | HONDA &gt;&gt; 15400PA6004 | HONDA &gt;&gt; 15400PA6405 | HONDA &gt;&gt; 15400PA6305 | HONDA &gt;&gt; 15400689004 | HONDA &gt;&gt; 15400PA6003 | HONDA &gt;&gt; 15000689004 | HONDA &gt;&gt; 15400689003 | ROVER &gt;&gt; BNP3419 | ROVER &gt;&gt; BNP2638 | ROVER &gt;&gt; BNP2637 | MANN-FILTER &gt;&gt; W81581 | MANN-FILTER &gt;&gt; W91414 | BOSCH &gt;&gt; P2015 | BOSCH &gt;&gt; 0986452026 | BOSCH &gt;&gt; O125 | BOSCH &gt;&gt; 0986452015 | KNECHT &gt;&gt; OC77 | PURFLUX &gt;&gt; LS718 | CHAMPION &gt;&gt; E101 | PUROLATOR &gt;&gt; L10291 | QUINTON HAZELL &gt;&gt; WL7130 | FRAM &gt;&gt; PH3531 | CHAMP &gt;&gt; PH2817 | TECNOCAR &gt;&gt; R428 | AMC Filter &gt;&gt; HO818 | P.B.R. &gt;&gt; BC1146 | CLEAN FILTERS &gt;&gt; DO340 | BALDWIN &gt;&gt; B156 | COOPERS &gt;&gt; Z155 | TEHO &gt;&gt; OK106 | TJ FILTERS &gt;&gt; FB5449 | WIX FILTERS &gt;&gt; 51392 | WOODGATE &gt;&gt; WGL3337 | JAPANPARTS &gt;&gt; FO402S | ALCO FILTER &gt;&gt; SP904 | FILTRON &gt;&gt; OP571 | UNICO FILTER &gt;&gt; LI97814 | GUD FILTERS &gt;&gt; Z155 | VIC &gt;&gt; C804 | UFI &gt;&gt; 2318200 | FLEETGUARD &gt;&gt; LF3337 | DONALDSON &gt;&gt; P502048 | MOTORCRAFT &gt;&gt; EFL151 | UNIPART &gt;&gt; GFE483 | UNIPART &gt;&gt; GFE192 | UNIPART &gt;&gt; GFE238 | UNIPART &gt;&gt; GFE165 | MONARK &gt;&gt; 030758881 | MECAFILTER &gt;&gt; ELH4145 | ACDelco &gt;&gt; X84 | ASHIKA &gt;&gt; 1004402 | BECK/ARNLEY &gt;&gt; 0418044 | BECK/ARNLEY &gt;&gt; 0410548 | NIPPARTS &gt;&gt; J1314002 | CROSLAND FILTERS &gt;&gt; 369 | COOPERSFIAAM FILTERS &gt;&gt; FT4931 | MOTAQUIP &gt;&gt; VFL156 | JAPKO &gt;&gt; 10402</t>
  </si>
  <si>
    <t>HONDA &gt;&gt; 15400PH1003 | HONDA &gt;&gt; 15400PH1004 | HONDA &gt;&gt; 15400PT0000 | HONDA &gt;&gt; 15400PC6004 | HONDA &gt;&gt; 15400PC6405 | HONDA &gt;&gt; 15400PR3406 | HONDA &gt;&gt; 15400PR3405 | HONDA &gt;&gt; 15400PR3005 | HONDA &gt;&gt; 15400PR3006 | HONDA &gt;&gt; 15400PH1F04 | HONDA &gt;&gt; 15400PC6003 | HONDA &gt;&gt; 15400PR3004 | HONDA &gt;&gt; 15400PR3003 | HONDA &gt;&gt; 15400PK1003 | HONDA &gt;&gt; 15400PH1F02 | HONDA &gt;&gt; 15400PH1F03 | HONDA &gt;&gt; 15400PH1014 | HONDA &gt;&gt; 15400PH1F01 | SUBARU &gt;&gt; 15208AA110 | MANN-FILTER &gt;&gt; W61082 | BOSCH &gt;&gt; F026407104 | PURFLUX &gt;&gt; LS964 | PURFLUX &gt;&gt; LS489A | PURFLUX &gt;&gt; LS705 | PURFLUX &gt;&gt; LS350 | HERTH+BUSS JAKOPARTS &gt;&gt; J1314018 | HERTH+BUSS JAKOPARTS &gt;&gt; J1314010 | FRAM &gt;&gt; PH11297 | FRAM &gt;&gt; PH2849 | FRAM &gt;&gt; DG3950 | FRAM &gt;&gt; PH5317 | WIX FILTERS &gt;&gt; WL7107 | JAPANPARTS &gt;&gt; JFO498S | JAPANPARTS &gt;&gt; JFO498 | JAPANPARTS &gt;&gt; JFO410S | JAPANPARTS &gt;&gt; JFO409 | JAPANPARTS &gt;&gt; JFO406S | JAPANPARTS &gt;&gt; JFO404 | JAPANPARTS &gt;&gt; JFO406 | JAPANPARTS &gt;&gt; FO703S | JAPANPARTS &gt;&gt; FO498S | JAPANPARTS &gt;&gt; FO406S | KAVO PARTS &gt;&gt; MO523 | KAVO PARTS &gt;&gt; MO429 | KAVO PARTS &gt;&gt; HO823 | KAVO PARTS &gt;&gt; HO818 | ASHIKA &gt;&gt; 1007703 | ASHIKA &gt;&gt; 1004498 | MAHLE ORIGINAL &gt;&gt; OC115 | BLUE PRINT &gt;&gt; ADH22104 | BLUE PRINT &gt;&gt; ADH22101 | BLUE PRINT &gt;&gt; ADG02130 | BLUE PRINT &gt;&gt; ADS72105 | BLUE PRINT &gt;&gt; ADS72101 | BLUE PRINT &gt;&gt; ADH22106 | COMLINE &gt;&gt; CMB11341 | COMLINE &gt;&gt; CHN11532 | NPS &gt;&gt; H131A17 | NPS &gt;&gt; H131A12 | JAPKO &gt;&gt; 10703 | JAPKO &gt;&gt; 10498</t>
  </si>
  <si>
    <t>FORD &gt;&gt; 5007222 | FORD &gt;&gt; 5010965 | HONDA &gt;&gt; 15400PA6004 | HONDA &gt;&gt; 15400PA6005 | HONDA &gt;&gt; 15400PA6003 | HONDA &gt;&gt; 15400689004 | HONDA &gt;&gt; 15400689003 | HONDA &gt;&gt; 15400PA6F01 | HONDA &gt;&gt; 15400PA6010 | HONDA &gt;&gt; 15400PA6305 | ISUZU &gt;&gt; 8943604181 | GENERAL MOTORS &gt;&gt; 93156201 | MANN-FILTER &gt;&gt; W81581 | BOSCH &gt;&gt; 0986452015 | KNECHT &gt;&gt; OC77 | PURFLUX &gt;&gt; LS718 | CHAMPION &gt;&gt; E101606 | HERTH+BUSS JAKOPARTS &gt;&gt; J1314002 | QUINTON HAZELL &gt;&gt; WL7130 | FRAM &gt;&gt; PH3531 | TECNOCAR &gt;&gt; R930 | MAGNETI MARELLI &gt;&gt; 161013140020 | SOFIMA &gt;&gt; S8240R | MEYLE &gt;&gt; 31143220002 | AMC Filter &gt;&gt; IO343 | AMC Filter &gt;&gt; HO818 | P.B.R. &gt;&gt; BC1146 | CLEAN FILTERS &gt;&gt; DO340 | WIX FILTERS &gt;&gt; WL7130 | JAPANPARTS &gt;&gt; FO402S | ALCO FILTER &gt;&gt; SP904 | FILTRON &gt;&gt; OP571 | DENCKERMANN &gt;&gt; A210154 | UFI &gt;&gt; 2318200 | MECAFILTER &gt;&gt; ELH4145 | ACDelco &gt;&gt; X4066E | SCT Germany &gt;&gt; SM167 | ASHIKA &gt;&gt; 1004402 | KAGER &gt;&gt; 100131 | MAHLE ORIGINAL &gt;&gt; OC77 | UNIFLUX FILTERS &gt;&gt; XO42 | COOPERSFIAAM FILTERS &gt;&gt; FT5920 | NPS &gt;&gt; H131A02 | ASHUKI &gt;&gt; H08201 | IPS Parts &gt;&gt; IFL3402 | JAPKO &gt;&gt; 10402 | MULLER FILTER &gt;&gt; FO428</t>
  </si>
  <si>
    <t>Engine Code &gt;&gt; D16A3</t>
  </si>
  <si>
    <t>Length, mm &gt;&gt; 240 | Width, mm &gt;&gt; 150 | Height, mm &gt;&gt; 38</t>
  </si>
  <si>
    <t>HONDA &gt;&gt; 17220PE2000 | HONDA &gt;&gt; 17220PE2010 | HONDA &gt;&gt; 17220PE2306 | HONDA &gt;&gt; 17220PE2003 | HONDA &gt;&gt; 17220PE2305 | HONDA &gt;&gt; 17220PE2020 | KNECHT &gt;&gt; LX897 | PURFLUX &gt;&gt; A833 | PUROLATOR &gt;&gt; A13576 | QUINTON HAZELL &gt;&gt; WA6298 | FRAM &gt;&gt; CA4381 | DELPHI &gt;&gt; AF0350 | SOFIMA &gt;&gt; S2340A | AMC Filter &gt;&gt; HA878 | COOPERS &gt;&gt; AG1049 | WIX FILTERS &gt;&gt; 46149 | JAPANPARTS &gt;&gt; FA407S | ALCO FILTER &gt;&gt; MD9150 | FILTRON &gt;&gt; AP119 | VIC &gt;&gt; A820V | NIPPARTS &gt;&gt; J1324007 | CROSLAND FILTERS &gt;&gt; 9127 | COOPERSFIAAM FILTERS &gt;&gt; PA7083 | JAPKO &gt;&gt; 20407</t>
  </si>
  <si>
    <t>HONDA &gt;&gt; 17220PE2000 | HONDA &gt;&gt; 17220PE2010 | HONDA &gt;&gt; 17220PE2306 | HONDA &gt;&gt; 17220PE2003 | HONDA &gt;&gt; 17220PE2305 | HONDA &gt;&gt; 17220PE2020 | KNECHT &gt;&gt; LX897 | PURFLUX &gt;&gt; A833 | PUROLATOR &gt;&gt; A13576 | QUINTON HAZELL &gt;&gt; WA6298 | FRAM &gt;&gt; CA4381 | DELPHI &gt;&gt; AF0350 | AMC Filter &gt;&gt; HA878 | COOPERS &gt;&gt; AG1049 | WIX FILTERS &gt;&gt; 46149 | JAPANPARTS &gt;&gt; FA407S | ALCO FILTER &gt;&gt; MD9150 | FILTRON &gt;&gt; AP119 | VIC &gt;&gt; A820V | UFI &gt;&gt; 3024000 | NIPPARTS &gt;&gt; J1324007 | CROSLAND FILTERS &gt;&gt; 9127 | COOPERSFIAAM FILTERS &gt;&gt; PA7083 | JAPKO &gt;&gt; 20407</t>
  </si>
  <si>
    <t>HONDA &gt;&gt; 17220PE2306 | HONDA &gt;&gt; 17220PE2010 | HONDA &gt;&gt; 17220PE2003 | HONDA &gt;&gt; 17220PE2000 | AC &gt;&gt; PC527</t>
  </si>
  <si>
    <t>K&amp;N Filters</t>
  </si>
  <si>
    <t>Outer Diameter, mm &gt;&gt; 70 | Outer Diameter 1, mm &gt;&gt; 86 | Thread Size Entry,  &gt;&gt; M 12 X 1.25 | Thread Size Exit,  &gt;&gt; M 12 X 1.25 | Height, mm &gt;&gt; 105</t>
  </si>
  <si>
    <t>GMC &gt;&gt; 25176278 | GMC &gt;&gt; 25176279 | HONDA &gt;&gt; 16900SB2684 | HONDA &gt;&gt; 16900SB2685 | HONDA &gt;&gt; 16010SB2680 | LUCAS ELECTRICAL &gt;&gt; F101 | BOSCH &gt;&gt; 71516 | PUROLATOR &gt;&gt; F53159 | FRAM &gt;&gt; G6435 | CHAMP &gt;&gt; G2985 | SOFIMA &gt;&gt; S1615B | BALDWIN &gt;&gt; BF1111 | COOPERS &gt;&gt; FIG7052 | WIX FILTERS &gt;&gt; 33556 | A.L. FILTER &gt;&gt; ALG7040 | MOTORCRAFT &gt;&gt; FG884 | UNIPART &gt;&gt; GFE7078 | ACDelco &gt;&gt; GF699 | BECK/ARNLEY &gt;&gt; 0430897</t>
  </si>
  <si>
    <t>Outer Diameter 1, mm &gt;&gt; 70 | Outer Diameter 2, mm &gt;&gt; 85 | Thread Measurement 1,  &gt;&gt; M12X1.25 | Thread Size 2,  &gt;&gt; M12X1.25 | Height, mm &gt;&gt; 102</t>
  </si>
  <si>
    <t>HONDA &gt;&gt; 16010SB2680 | HONDA &gt;&gt; 16900SB2685 | AC &gt;&gt; GF606 | GENERAL MOTORS &gt;&gt; 25121606 | FRAM &gt;&gt; G6435 | AMC Filter &gt;&gt; HF8851 | UFI &gt;&gt; 3161500 | HOFFER &gt;&gt; 4057 | BLUE PRINT &gt;&gt; ADH22312 | COMLINE &gt;&gt; CHN13015</t>
  </si>
  <si>
    <t>not for article no.,  &gt;&gt; 2542</t>
  </si>
  <si>
    <t>GMC &gt;&gt; 25176278 | GMC &gt;&gt; 25176279 | HONDA &gt;&gt; 16900SB2685 | HONDA &gt;&gt; 16010SB2680 | HONDA &gt;&gt; 16900SB2684 | UFI &gt;&gt; 3161500</t>
  </si>
  <si>
    <t>AUDI &gt;&gt; 068121039M | AUDI &gt;&gt; 048903137 | AUDI &gt;&gt; 053903137 | AUDI &gt;&gt; 046145271A | AUDI &gt;&gt; 028145271F | AUSTIN &gt;&gt; IH1001 | AUSTIN &gt;&gt; GFB103 | AUSTIN &gt;&gt; GFB176 | AUSTIN &gt;&gt; IG2716 | AUSTIN &gt;&gt; GFB10900 | AUSTIN &gt;&gt; AEA489 | AUSTIN &gt;&gt; 1H1001 | AUSTIN &gt;&gt; 1G2716 | AUSTIN &gt;&gt; 151515 | AUSTIN &gt;&gt; 13H923 | AUSTIN &gt;&gt; 596433 | AUSTIN &gt;&gt; 13H8310 | AUSTIN &gt;&gt; TCK0366 | AUSTIN &gt;&gt; TKC386 | BEDFORD &gt;&gt; 1340671VBELT | BEDFORD &gt;&gt; 90091743 | BMW &gt;&gt; 32411266788 | BMW &gt;&gt; 32421711065 | BMW &gt;&gt; 32411258276 | DAIHATSU &gt;&gt; 2611251120 | DAIHATSU &gt;&gt; 9932100895 | DAIHATSU &gt;&gt; 9932100898 | DAIMLER &gt;&gt; C29607 | FIAT &gt;&gt; 7301775 | FIAT &gt;&gt; 7302203 | FORD &gt;&gt; 1952516 | FORD &gt;&gt; 117200F300 | FORD &gt;&gt; 1634741 | FORD &gt;&gt; V86BB6C301AA | HONDA &gt;&gt; 56992PH1004 | HONDA &gt;&gt; 56992PH3004 | HONDA &gt;&gt; 56992PC6004 | HONDA &gt;&gt; 56992PG6004 | HONDA &gt;&gt; 56992PH1003 | HONDA &gt;&gt; 56992PG6003 | HONDA &gt;&gt; 56992PC6003 | HONDA &gt;&gt; 56992PC60030 | INNOCENTI &gt;&gt; 34402332 | INNOCENTI &gt;&gt; 13H923 | JAGUAR &gt;&gt; C29607 | MAZDA &gt;&gt; N30413715 | MERCEDES-BENZ &gt;&gt; 0079977892 | MERCEDES-BENZ &gt;&gt; 007753009502 | MERCEDES-BENZ &gt;&gt; 0069970292 | MERCEDES-BENZ &gt;&gt; A0069970292 | MERCEDES-BENZ &gt;&gt; A0079977892 | MERCEDES-BENZ &gt;&gt; A007753009502 | MERCEDES-BENZ &gt;&gt; A0009978492 | MERCEDES-BENZ &gt;&gt; 95X900N275 | MERCEDES-BENZ &gt;&gt; 0009978492 | MG &gt;&gt; IH1001 | MG &gt;&gt; IG2716 | MG &gt;&gt; GFB176 | MG &gt;&gt; GFB10900 | MG &gt;&gt; GFB103 | MG &gt;&gt; 1H1001 | MG &gt;&gt; AEA489 | MG &gt;&gt; 1G2716 | MG &gt;&gt; 151515 | MG &gt;&gt; 13H923 | MG &gt;&gt; 596433 | MG &gt;&gt; 13H8310 | MG &gt;&gt; TKC386 | MG &gt;&gt; TCK0366 | MORRIS &gt;&gt; IH1001 | MORRIS &gt;&gt; IG2716 | MORRIS &gt;&gt; GFB176 | MORRIS &gt;&gt; GFB10900 | MORRIS &gt;&gt; GFB103 | MORRIS &gt;&gt; 1H1001 | MORRIS &gt;&gt; AEA489 | MORRIS &gt;&gt; 1G2716 | MORRIS &gt;&gt; 151515 | MORRIS &gt;&gt; 13H923 | MORRIS &gt;&gt; 596433 | MORRIS &gt;&gt; 13H8310 | MORRIS &gt;&gt; TKC386 | MORRIS &gt;&gt; TCK0366 | NISSAN &gt;&gt; 11720PO300 | NISSAN &gt;&gt; 11720N9700 | NISSAN &gt;&gt; 11720N8500 | NISSAN &gt;&gt; 11720E3005 | NISSAN &gt;&gt; 11720E3001 | NISSAN &gt;&gt; 117200F300 | NISSAN &gt;&gt; 0211790513 | NISSAN &gt;&gt; 0211790013 | OPEL &gt;&gt; 1336671 | OPEL &gt;&gt; 3013022 | OPEL &gt;&gt; 3013012 | OPEL &gt;&gt; 09292427 | OPEL &gt;&gt; 90448698 | OPEL &gt;&gt; 90352615 | OPEL &gt;&gt; 90091743 | OPEL &gt;&gt; 11053599 | OPEL &gt;&gt; 1340739 | OPEL &gt;&gt; 1340703 | OPEL &gt;&gt; 1340697 | OPEL &gt;&gt; 1340671VBELT | PEUGEOT &gt;&gt; 400325 | PEUGEOT &gt;&gt; 575032 | PEUGEOT &gt;&gt; 575029 | PEUGEOT &gt;&gt; 574921 | PEUGEOT &gt;&gt; 574911 | PORSCHE &gt;&gt; 047903137A | RENAULT &gt;&gt; 7700630569 | ROVER &gt;&gt; IH1001 | ROVER &gt;&gt; IG2716 | ROVER &gt;&gt; GFB176 | ROVER &gt;&gt; GFB10900 | ROVER &gt;&gt; GFB103 | ROVER &gt;&gt; 1H1001 | ROVER &gt;&gt; AEA489 | ROVER &gt;&gt; 1G2716 | ROVER &gt;&gt; 151515 | ROVER &gt;&gt; 13H923 | ROVER &gt;&gt; 13H8310 | ROVER &gt;&gt; 596433 | ROVER &gt;&gt; TKC386 | ROVER &gt;&gt; TCK0366 | SEAT &gt;&gt; 0019973792 | SUBARU &gt;&gt; 809110380 | SUBARU &gt;&gt; 809110290 | TALBOT &gt;&gt; 55421100 | TOYOTA &gt;&gt; 9952110902 | TOYOTA &gt;&gt; 9932150895 | TOYOTA &gt;&gt; 9952110897 | TOYOTA &gt;&gt; 9932100895 | TOYOTA &gt;&gt; 9091602074 | TRIUMPH &gt;&gt; IH1001 | TRIUMPH &gt;&gt; IG2716 | TRIUMPH &gt;&gt; GFB176 | TRIUMPH &gt;&gt; GFB10900 | TRIUMPH &gt;&gt; GFB103 | TRIUMPH &gt;&gt; 1H1001 | TRIUMPH &gt;&gt; AEA489 | TRIUMPH &gt;&gt; 1G2716 | TRIUMPH &gt;&gt; 151515 | TRIUMPH &gt;&gt; 13H923 | TRIUMPH &gt;&gt; 13H8310 | TRIUMPH &gt;&gt; 596433 | TRIUMPH &gt;&gt; TKC386 | TRIUMPH &gt;&gt; TCK0366 | VAUXHALL &gt;&gt; 3013022 | VAUXHALL &gt;&gt; 09292427 | VAUXHALL &gt;&gt; 90448698 | VAUXHALL &gt;&gt; 90352615 | VAUXHALL &gt;&gt; 90091743 | VAUXHALL &gt;&gt; 1340739 | VAUXHALL &gt;&gt; 1340703 | VAUXHALL &gt;&gt; 1340671VBELT | VW &gt;&gt; 068121039M | VW &gt;&gt; 062145271A | VW &gt;&gt; 111903137E | VW &gt;&gt; 111903137D | VW &gt;&gt; 111903137C | VW &gt;&gt; 046903137 | VW &gt;&gt; 111903137B | FERRARI &gt;&gt; 125772 | LUCAS ELECTRICAL &gt;&gt; KDB900 | BOSCH &gt;&gt; 1987947793 | BOSCH &gt;&gt; 1987947765 | BOSCH &gt;&gt; 1987947637 | BOSCH &gt;&gt; 1987947608 | BOSCH &gt;&gt; 1987947309 | BOSCH &gt;&gt; 9134169800 | BOSCH &gt;&gt; 9134161180 | BOSCH &gt;&gt; 9104169800 | BOSCH &gt;&gt; 9124161180 | BOSCH &gt;&gt; 9104163180 | BOSCH &gt;&gt; 9104161182 | BOSCH &gt;&gt; 9104161181 | BOSCH &gt;&gt; 9104161180 | CONTITECH &gt;&gt; 119X903LD | CONTITECH &gt;&gt; 119X903 | CONTITECH &gt;&gt; AVX10X905 | CONTITECH &gt;&gt; AVX10X900 | CONTITECH &gt;&gt; AV10905 | CONTITECH &gt;&gt; AV10900 | CONTITECH &gt;&gt; 10X905 | CONTITECH &gt;&gt; 6587781 | CONTITECH &gt;&gt; 6587037 | CONTITECH &gt;&gt; 6578044 | CONTITECH &gt;&gt; 6578015 | CONTITECH &gt;&gt; V2210 | CONTITECH &gt;&gt; V521 | CONTITECH &gt;&gt; V1947 | CONTITECH &gt;&gt; V1247 | DAYCO &gt;&gt; 4072 | DAYCO &gt;&gt; 10355 | DAYCO &gt;&gt; 11A0908C | DAYCO &gt;&gt; 11A0902C | DAYCO &gt;&gt; 10353 | DAYCO &gt;&gt; 11A0900C | DAYCO &gt;&gt; 2169 | DAYCO &gt;&gt; 2050 | DAYCO &gt;&gt; 2010 | DAYCO &gt;&gt; 850SD | DAYCO &gt;&gt; 843 | DAYCO &gt;&gt; 6710D | DAYCO &gt;&gt; 6710 | DAYCO &gt;&gt; 10A0905C | DAYCO &gt;&gt; VS900 | DAYCO &gt;&gt; VS800 | DAYCO &gt;&gt; 10A0900GL | DAYCO &gt;&gt; 10A0900C | DAYCO &gt;&gt; 10A0895C | SKF &gt;&gt; VKMV119X903 | SKF &gt;&gt; VKMV10AVX905 | SKF &gt;&gt; VKMV10AVX900 | HERTH+BUSS JAKOPARTS &gt;&gt; J1010900 | QUINTON HAZELL &gt;&gt; QBA900 | FERODO &gt;&gt; VS900 | FERODO &gt;&gt; V958 | FERODO &gt;&gt; V1058 | OPTIBELT &gt;&gt; 11A900 | OPTIBELT &gt;&gt; 1182XDA | OPTIBELT &gt;&gt; AVX119X903 | OPTIBELT &gt;&gt; AVX10X900 | OPTIBELT &gt;&gt; 1180DA | OPTIBELT &gt;&gt; 1180 | OPTIBELT &gt;&gt; 9800XDA | OPTIBELT &gt;&gt; 95X905 | OPTIBELT &gt;&gt; 95X900 | MINTEX &gt;&gt; PWFT900 | MINTEX &gt;&gt; WFT351 | ROULUNDS RUBBER &gt;&gt; 2A0903 | ROULUNDS RUBBER &gt;&gt; 2190 | ROULUNDS RUBBER &gt;&gt; 2150 | ROULUNDS RUBBER &gt;&gt; 1A0905 | ROULUNDS RUBBER &gt;&gt; 1A0900 | ROULUNDS RUBBER &gt;&gt; 1980 | SNR &gt;&gt; AVX11X900 | SNR &gt;&gt; AVX10X900 | JAPANPARTS &gt;&gt; JTT901 | JAPANPARTS &gt;&gt; DT10X915LA | JAPANPARTS &gt;&gt; DT10X900LA | JAPANPARTS &gt;&gt; TT901 | VEYANCE &gt;&gt; 1060H | VEYANCE &gt;&gt; 950900 | VEYANCE &gt;&gt; 1704H | VEYANCE &gt;&gt; 10AV0900 | HUTCHINSON &gt;&gt; 5361 | HUTCHINSON &gt;&gt; AV10LA900 | HUTCHINSON &gt;&gt; AV10890LA900 | HUTCHINSON &gt;&gt; AV10890CR | HUTCHINSON &gt;&gt; 5375 | KLEBER &gt;&gt; AV10890 | KLEBER &gt;&gt; 900 | KLEBER &gt;&gt; 1109 | KLEBER &gt;&gt; 10X900 | UNIPART &gt;&gt; GCB50900 | UNIPART &gt;&gt; GCB10900 | HAVAM &gt;&gt; VS1590 | HAVAM &gt;&gt; VS1117 | HAVAM &gt;&gt; VS1116 | HAVAM &gt;&gt; VG10900 | ACDelco &gt;&gt; AB31013 | FLENNOR &gt;&gt; A5261 | FLENNOR &gt;&gt; A5105 | BANDO &gt;&gt; 2355 | MITSUBOSHI &gt;&gt; MF1355 | MITSUBOSHI &gt;&gt; REC95X900 | NIPPARTS &gt;&gt; J1100900 | BLUE PRINT &gt;&gt; ADN19642 | BLUE PRINT &gt;&gt; ADN19641 | BLUE PRINT &gt;&gt; ADN19603 | DT &gt;&gt; 480611</t>
  </si>
  <si>
    <t>AUDI &gt;&gt; 035260849A | AUDI &gt;&gt; 063903137 | BEDFORD &gt;&gt; 93891618 | BEDFORD &gt;&gt; 94222880 | BEDFORD &gt;&gt; 94411860 | BMW &gt;&gt; 64551734669 | DAIHATSU &gt;&gt; 9932200890 | DAIHATSU &gt;&gt; 9933200890 | DAIHATSU &gt;&gt; 9091602052 | DAIHATSU &gt;&gt; 9091602060 | FORD &gt;&gt; 742F8620AA | FORD &gt;&gt; 1511349 | FORD &gt;&gt; EJ3V0897 | FORD &gt;&gt; 85TF6C301F1A | FORD &gt;&gt; 85TF6C301F2A | FORD &gt;&gt; 85TF6C301FA | FORD &gt;&gt; 722F8620DC | FORD &gt;&gt; 6144781 | FORD &gt;&gt; 6158124 | FORD &gt;&gt; 6158123 | HONDA &gt;&gt; 38920PG6006 | HONDA &gt;&gt; 38920PG6004 | HONDA &gt;&gt; 38920PG6003 | ISUZU &gt;&gt; 4291734 | ISUZU &gt;&gt; 94411860 | ISUZU &gt;&gt; 94222880 | ISUZU &gt;&gt; 93891618 | ISUZU &gt;&gt; 91145737 | ISUZU &gt;&gt; 8941751700 | ISUZU &gt;&gt; 8942252090 | ISUZU &gt;&gt; 8942228800 | ISUZU &gt;&gt; 8924252090 | ISUZU &gt;&gt; 8941316290 | ISUZU &gt;&gt; 8941675890 | ISUZU &gt;&gt; 8941116870 | MAZDA &gt;&gt; 227618381B | MAZDA &gt;&gt; RF7118381C | MAZDA &gt;&gt; RF7118381A | MAZDA &gt;&gt; RF7118381B | MAZDA &gt;&gt; RF7115908 | MAZDA &gt;&gt; RF7118381 | MAZDA &gt;&gt; RF2L18380A | MAZDA &gt;&gt; RF2L18380B | MAZDA &gt;&gt; R2S215907 | MAZDA &gt;&gt; PN4018381 | MAZDA &gt;&gt; B61H18381A | MAZDA &gt;&gt; B6S718381B | MAZDA &gt;&gt; B6SF18381B | MAZDA &gt;&gt; B6SF18381A | MAZDA &gt;&gt; B6S718381A | MERCEDES-BENZ &gt;&gt; A0059977692 | MERCEDES-BENZ &gt;&gt; 0059977692 | MITSUBISHI &gt;&gt; MB272651 | MITSUBISHI &gt;&gt; MB167065 | NISSAN &gt;&gt; 1172005E10 | NISSAN &gt;&gt; 0211791023 | NISSAN &gt;&gt; 11920V2000 | NISSAN &gt;&gt; 1172005E05 | NISSAN &gt;&gt; 1192028L00 | NISSAN &gt;&gt; 1172005E00 | NISSAN &gt;&gt; 1175005E10KE | NISSAN &gt;&gt; 0211790526 | NISSAN &gt;&gt; 1175005E10 | NISSAN &gt;&gt; 1175005E00 | NISSAN &gt;&gt; 0211790023 | NISSAN &gt;&gt; 11720Y4000 | NISSAN &gt;&gt; 11720W0710 | NISSAN &gt;&gt; 11720V2010 | NISSAN &gt;&gt; 11720P8000 | NISSAN &gt;&gt; 0211790525 | NISSAN &gt;&gt; 1172083000 | NISSAN &gt;&gt; 1172029500 | NISSAN &gt;&gt; 0211788523 | NISSAN &gt;&gt; 1172028L01 | NISSAN &gt;&gt; 0211790523 | NISSAN &gt;&gt; A1720V2010 | NISSAN &gt;&gt; 1172016A02 | NISSAN &gt;&gt; 1172005E15 | OPEL &gt;&gt; 9201832 | OPEL &gt;&gt; 1340682 | PEUGEOT &gt;&gt; 645701 | TOYOTA &gt;&gt; 9933200900 | TOYOTA &gt;&gt; 9933200905 | TOYOTA &gt;&gt; 9933200890 | TOYOTA &gt;&gt; 993320089001 | TOYOTA &gt;&gt; 9932200900 | TOYOTA &gt;&gt; 9932200890 | TOYOTA &gt;&gt; 9091602061 | TOYOTA &gt;&gt; 9091602060 | TOYOTA &gt;&gt; 9091602055 | TOYOTA &gt;&gt; 9087108905 | TOYOTA &gt;&gt; 9952210904 | TOYOTA &gt;&gt; 9952210901 | TOYOTA &gt;&gt; 9952210900 | TOYOTA &gt;&gt; 9952210892 | TOYOTA &gt;&gt; 9933260905 | TOYOTA &gt;&gt; 9952210890 | TOYOTA &gt;&gt; 9933210890 | TOYOTA &gt;&gt; 9933210905 | TOYOTA &gt;&gt; 9933210880 | TOYOTA &gt;&gt; 993321088078 | VAUXHALL &gt;&gt; 4291734 | VAUXHALL &gt;&gt; 94222880 | VAUXHALL &gt;&gt; 93891618 | VAUXHALL &gt;&gt; 9201832 | VAUXHALL &gt;&gt; 91145737 | VAUXHALL &gt;&gt; 1340682 | VOLVO &gt;&gt; 978383 | VW &gt;&gt; 063903137 | KIA &gt;&gt; 0K65B15907C | ACURA &gt;&gt; 38920PG6004 | LUCAS ELECTRICAL &gt;&gt; KEB900 | BOSCH &gt;&gt; 9134162181 | BOSCH &gt;&gt; 9134162180 | BOSCH &gt;&gt; 9124162180 | BOSCH &gt;&gt; 9104162184 | BOSCH &gt;&gt; 9114162180 | BOSCH &gt;&gt; 9104162180 | BOSCH &gt;&gt; 1987947653 | BOSCH &gt;&gt; 1987947404 | CONTITECH &gt;&gt; V617 | CONTITECH &gt;&gt; V2025 | CONTITECH &gt;&gt; AVX13X910 | CONTITECH &gt;&gt; 6588643 | CONTITECH &gt;&gt; AVX13X900 | CONTITECH &gt;&gt; AV13900 | CONTITECH &gt;&gt; AV13910 | CONTITECH &gt;&gt; 6578735 | CONTITECH &gt;&gt; 6587493 | DAYCO &gt;&gt; 2420 | DAYCO &gt;&gt; 17355 | DAYCO &gt;&gt; 17353 | DAYCO &gt;&gt; 17350 | DAYCO &gt;&gt; 840SD | DAYCO &gt;&gt; 7452 | DAYCO &gt;&gt; 839 | DAYCO &gt;&gt; 7233D | DAYCO &gt;&gt; 7233 | DAYCO &gt;&gt; 6922 | DAYCO &gt;&gt; 6905 | DAYCO &gt;&gt; 13A0903C | DAYCO &gt;&gt; 13A0900C | DAYCO &gt;&gt; 13A0885C | DAYCO &gt;&gt; 4706 | SKF &gt;&gt; VKMV13AVX900 | SKF &gt;&gt; VKMV13AVX905 | HERTH+BUSS JAKOPARTS &gt;&gt; J1130900 | HERTH+BUSS JAKOPARTS &gt;&gt; J1130890 | HERTH+BUSS JAKOPARTS &gt;&gt; J1010900 | QUINTON HAZELL &gt;&gt; QBB900 | FERODO &gt;&gt; VT900 | FERODO &gt;&gt; V5038 | FERODO &gt;&gt; V1038 | FERODO &gt;&gt; FT882 | FERODO &gt;&gt; FT900 | OPTIBELT &gt;&gt; 125X900 | OPTIBELT &gt;&gt; 2180 | OPTIBELT &gt;&gt; X13X871 | OPTIBELT &gt;&gt; AVX13X900TM | OPTIBELT &gt;&gt; AVX13X900 | MINTEX &gt;&gt; WKT352 | MINTEX &gt;&gt; PWKT900 | ROULUNDS RUBBER &gt;&gt; 3A0910 | ROULUNDS RUBBER &gt;&gt; 2115 | ROULUNDS RUBBER &gt;&gt; 2110 | JAPANPARTS &gt;&gt; TTK10 | JAPANPARTS &gt;&gt; TTK07 | JAPANPARTS &gt;&gt; TT696 | JAPANPARTS &gt;&gt; JTT696 | JAPANPARTS &gt;&gt; DTWA930 | JAPANPARTS &gt;&gt; DTWA890 | JAPANPARTS &gt;&gt; DT13X915LA | JAPANPARTS &gt;&gt; DT13X900LA | VEYANCE &gt;&gt; 1250900 | VEYANCE &gt;&gt; 1101H | VEYANCE &gt;&gt; 13AV0900HDX2 | VEYANCE &gt;&gt; 13AV0900HD | VEYANCE &gt;&gt; 13AV0900 | VEYANCE &gt;&gt; 13AV0887 | VEYANCE &gt;&gt; 6764D | HUTCHINSON &gt;&gt; AV13885LA900 | HUTCHINSON &gt;&gt; AV13885CR | HUTCHINSON &gt;&gt; 5162 | KLEBER &gt;&gt; 13X905 | KLEBER &gt;&gt; 13X900 | KLEBER &gt;&gt; AV13890 | KLEBER &gt;&gt; AV13885 | KLEBER &gt;&gt; 1386 | UNIPART &gt;&gt; GCB20897 | HAVAM &gt;&gt; VS2111 | HAVAM &gt;&gt; VS2105 | ACDelco &gt;&gt; AB31053 | FLENNOR &gt;&gt; A5506 | FLENNOR &gt;&gt; A5355 | BANDO &gt;&gt; 3345 | BANDO &gt;&gt; 3340 | BANDO &gt;&gt; WA930 | BANDO &gt;&gt; WA890 | MITSUBOSHI &gt;&gt; REC125X900 | MITSUBOSHI &gt;&gt; REC125X885 | MITSUBOSHI &gt;&gt; MF6355 | MITSUBOSHI &gt;&gt; MF6350 | MITSUBOSHI &gt;&gt; MF2355 | NIPPARTS &gt;&gt; J1130900 | BLUE PRINT &gt;&gt; ADM59622</t>
  </si>
  <si>
    <t>AUDI &gt;&gt; 028145271F | AUDI &gt;&gt; 068121039M | AUDI &gt;&gt; 048903137 | AUDI &gt;&gt; 053903137 | AUDI &gt;&gt; 046145271A | AUSTIN &gt;&gt; AEA489 | AUSTIN &gt;&gt; 1H1001 | AUSTIN &gt;&gt; GFB103 | AUSTIN &gt;&gt; GFB10900 | AUSTIN &gt;&gt; 1G2716 | AUSTIN &gt;&gt; 151515 | AUSTIN &gt;&gt; 13H923 | AUSTIN &gt;&gt; 596433 | AUSTIN &gt;&gt; 13H8310 | AUSTIN &gt;&gt; GFB176 | AUSTIN &gt;&gt; IG2716 | AUSTIN &gt;&gt; TCK0366 | AUSTIN &gt;&gt; TKC386 | AUSTIN &gt;&gt; IH1001 | BEDFORD &gt;&gt; 90091743 | BEDFORD &gt;&gt; 1340671VBELT | BMW &gt;&gt; 32421711065 | BMW &gt;&gt; 32411258276 | BMW &gt;&gt; 32411266788 | DAIHATSU &gt;&gt; 9932100895 | DAIHATSU &gt;&gt; 9932100898 | DAIMLER &gt;&gt; C29607 | FIAT &gt;&gt; 7301775 | FIAT &gt;&gt; 7302203 | FORD &gt;&gt; 1952516 | FORD &gt;&gt; 117200F300 | FORD &gt;&gt; 1634741 | FORD &gt;&gt; 1340697 | FORD &gt;&gt; V86BB6C301AA | HONDA &gt;&gt; 56992PH1003 | HONDA &gt;&gt; 56992PH3004 | HONDA &gt;&gt; 56992PH1004 | HONDA &gt;&gt; 56992PC60030 | HONDA &gt;&gt; 56992PG6003 | HONDA &gt;&gt; 56992PG6004 | HONDA &gt;&gt; 56992PC6004 | HONDA &gt;&gt; 56992PC6003 | INNOCENTI &gt;&gt; 13H923 | INNOCENTI &gt;&gt; 34402332 | JAGUAR &gt;&gt; C29607 | MAZDA &gt;&gt; N30413715 | MERCEDES-BENZ &gt;&gt; 95X900N275 | MERCEDES-BENZ &gt;&gt; 0079977892 | MERCEDES-BENZ &gt;&gt; 007753009502 | MERCEDES-BENZ &gt;&gt; 0069970292 | MERCEDES-BENZ &gt;&gt; 0019973792 | MERCEDES-BENZ &gt;&gt; 0009978492 | MG &gt;&gt; GFB10900 | MG &gt;&gt; GFB103 | MG &gt;&gt; 1H1001 | MG &gt;&gt; 1G2716 | MG &gt;&gt; AEA489 | MG &gt;&gt; 151515 | MG &gt;&gt; 13H923 | MG &gt;&gt; 13H8310 | MG &gt;&gt; 596433 | MG &gt;&gt; TKC386 | MG &gt;&gt; TCK0366 | MG &gt;&gt; IH1001 | MG &gt;&gt; IG2716 | MG &gt;&gt; GFB176 | MORRIS &gt;&gt; GFB103 | MORRIS &gt;&gt; 1H1001 | MORRIS &gt;&gt; 1G2716 | MORRIS &gt;&gt; AEA489 | MORRIS &gt;&gt; 151515 | MORRIS &gt;&gt; 13H923 | MORRIS &gt;&gt; 13H8310 | MORRIS &gt;&gt; 596433 | MORRIS &gt;&gt; TKC386 | MORRIS &gt;&gt; TCK0366 | MORRIS &gt;&gt; IH1001 | MORRIS &gt;&gt; IG2716 | MORRIS &gt;&gt; GFB176 | MORRIS &gt;&gt; GFB10900 | NISSAN &gt;&gt; 0211790013 | NISSAN &gt;&gt; 11720PO300 | NISSAN &gt;&gt; 11720N9700 | NISSAN &gt;&gt; 11720N8500 | NISSAN &gt;&gt; 11720E3005 | NISSAN &gt;&gt; 11720E3001 | NISSAN &gt;&gt; 117200F300 | NISSAN &gt;&gt; 0211790513 | OPEL &gt;&gt; 09292427 | OPEL &gt;&gt; 90448698 | OPEL &gt;&gt; 90352615 | OPEL &gt;&gt; 90091743 | OPEL &gt;&gt; 11053599 | OPEL &gt;&gt; 1340739 | OPEL &gt;&gt; 1340703 | OPEL &gt;&gt; 1340697 | OPEL &gt;&gt; 1340671VBELT | OPEL &gt;&gt; 1336671 | OPEL &gt;&gt; 400325 | OPEL &gt;&gt; 3013022 | OPEL &gt;&gt; 3013012 | PEUGEOT &gt;&gt; 575032 | PEUGEOT &gt;&gt; 575029 | PEUGEOT &gt;&gt; 574921 | PEUGEOT &gt;&gt; 400325 | PORSCHE &gt;&gt; 047903137A | RENAULT &gt;&gt; 7700630569 | ROVER &gt;&gt; GFB103 | ROVER &gt;&gt; 1H1001 | ROVER &gt;&gt; 1G2716 | ROVER &gt;&gt; AEA489 | ROVER &gt;&gt; 151515 | ROVER &gt;&gt; 13H923 | ROVER &gt;&gt; 13H8310 | ROVER &gt;&gt; 596433 | ROVER &gt;&gt; TKC386 | ROVER &gt;&gt; TCK0366 | ROVER &gt;&gt; IH1001 | ROVER &gt;&gt; IG2716 | ROVER &gt;&gt; GFB176 | ROVER &gt;&gt; GFB10900 | SEAT &gt;&gt; 0019973792 | SUBARU &gt;&gt; 809110380 | SUBARU &gt;&gt; 809110290 | TALBOT &gt;&gt; 55421100 | TOYOTA &gt;&gt; 9952110902 | TOYOTA &gt;&gt; 9932150895 | TOYOTA &gt;&gt; 9952110897 | TOYOTA &gt;&gt; 9932100898 | TOYOTA &gt;&gt; 9932100895 | TOYOTA &gt;&gt; 9091602074 | TRIUMPH &gt;&gt; GFB103 | TRIUMPH &gt;&gt; 1H1001 | TRIUMPH &gt;&gt; 1G2716 | TRIUMPH &gt;&gt; AEA489 | TRIUMPH &gt;&gt; 151515 | TRIUMPH &gt;&gt; 13H923 | TRIUMPH &gt;&gt; 13H8310 | TRIUMPH &gt;&gt; 596433 | TRIUMPH &gt;&gt; TKC386 | TRIUMPH &gt;&gt; TCK0366 | TRIUMPH &gt;&gt; IH1001 | TRIUMPH &gt;&gt; IG2716 | TRIUMPH &gt;&gt; GFB176 | TRIUMPH &gt;&gt; GFB10900 | VAUXHALL &gt;&gt; 09292427 | VAUXHALL &gt;&gt; 90448698 | VAUXHALL &gt;&gt; 90352615 | VAUXHALL &gt;&gt; 90091743 | VAUXHALL &gt;&gt; 1340739 | VAUXHALL &gt;&gt; 1340703 | VAUXHALL &gt;&gt; 1340671VBELT | VAUXHALL &gt;&gt; 3013022 | VW &gt;&gt; 068121039M | VW &gt;&gt; 046903137 | VW &gt;&gt; 111903137E | VW &gt;&gt; 111903137D | VW &gt;&gt; 111903137C | VW &gt;&gt; 062145271A | VW &gt;&gt; 111903137B | VAG &gt;&gt; 11903137B | VAG &gt;&gt; 046903137 | VAG &gt;&gt; 068121039M | VAG &gt;&gt; 111903137E | VAG &gt;&gt; 046145271A | VAG &gt;&gt; 111903137D | VAG &gt;&gt; 062145271A | VAG &gt;&gt; 111903137C | VAG &gt;&gt; 111903137B | VAG &gt;&gt; 053903137 | VAG &gt;&gt; 028145271F | VAG &gt;&gt; 048903137 | VAG &gt;&gt; 047903137A | VAG &gt;&gt; 11903137E | VAG &gt;&gt; 11903137D | FERRARI &gt;&gt; 125772 | GENERAL MOTORS &gt;&gt; 90448698 | GENERAL MOTORS &gt;&gt; 90352615 | GENERAL MOTORS &gt;&gt; 90091743 | CITROEN/PEUGEOT &gt;&gt; 575032 | CITROEN/PEUGEOT &gt;&gt; 575029 | CITROEN/PEUGEOT &gt;&gt; 574921 | CITROEN/PEUGEOT &gt;&gt; 400325 | LUCAS ELECTRICAL &gt;&gt; KDB900 | BOSCH &gt;&gt; 1987947793 | BOSCH &gt;&gt; 1987947765 | BOSCH &gt;&gt; 1987947637 | BOSCH &gt;&gt; 1987947608 | BOSCH &gt;&gt; 1987947309 | BOSCH &gt;&gt; 9134169800 | BOSCH &gt;&gt; 9134161180 | BOSCH &gt;&gt; 9124161180 | BOSCH &gt;&gt; 9104163180 | BOSCH &gt;&gt; 9104169800 | BOSCH &gt;&gt; 9104161182 | BOSCH &gt;&gt; 9104161181 | BOSCH &gt;&gt; 9104161180 | CONTITECH &gt;&gt; AVX10X905 | CONTITECH &gt;&gt; AVX10X900 | CONTITECH &gt;&gt; AV10900 | CONTITECH &gt;&gt; AV10905 | CONTITECH &gt;&gt; 6587781 | CONTITECH &gt;&gt; 6587037 | CONTITECH &gt;&gt; 6578044 | CONTITECH &gt;&gt; 6578015 | CONTITECH &gt;&gt; 10X905 | CONTITECH &gt;&gt; V521 | CONTITECH &gt;&gt; V1947 | CONTITECH &gt;&gt; V2210 | CONTITECH &gt;&gt; V1247 | CONTITECH &gt;&gt; 119X903LD | CONTITECH &gt;&gt; 119X903 | GATES &gt;&gt; 6216MC | DAYCO &gt;&gt; 2010 | DAYCO &gt;&gt; 850SD | DAYCO &gt;&gt; 843 | DAYCO &gt;&gt; 6710D | DAYCO &gt;&gt; 6710 | DAYCO &gt;&gt; 10A0905C | DAYCO &gt;&gt; VS900 | DAYCO &gt;&gt; VS800 | DAYCO &gt;&gt; 10A0900GL | DAYCO &gt;&gt; 10A0900C | DAYCO &gt;&gt; 4072 | DAYCO &gt;&gt; 10A0895C | DAYCO &gt;&gt; 11A0908C | DAYCO &gt;&gt; 11A0902C | DAYCO &gt;&gt; 11A0900C | DAYCO &gt;&gt; 10355 | DAYCO &gt;&gt; 2169 | DAYCO &gt;&gt; 10353 | DAYCO &gt;&gt; 2050 | SKF &gt;&gt; VKMV119X903 | SKF &gt;&gt; VKMV10AVX900 | SKF &gt;&gt; VKMV10AVX905 | QUINTON HAZELL &gt;&gt; QBA900 | FERODO &gt;&gt; VS900 | FERODO &gt;&gt; V958 | FERODO &gt;&gt; V1058 | OPTIBELT &gt;&gt; 1182XDA | OPTIBELT &gt;&gt; 1180DA | OPTIBELT &gt;&gt; 1180 | OPTIBELT &gt;&gt; AVX119X903 | OPTIBELT &gt;&gt; AVX10X900 | OPTIBELT &gt;&gt; 9800XDA | OPTIBELT &gt;&gt; 95X905 | OPTIBELT &gt;&gt; 95X900 | OPTIBELT &gt;&gt; 11A900 | MINTEX &gt;&gt; WFT351 | MINTEX &gt;&gt; PWFT900 | ROULUNDS RUBBER &gt;&gt; 1A0905 | ROULUNDS RUBBER &gt;&gt; 1A0900 | ROULUNDS RUBBER &gt;&gt; 1980 | ROULUNDS RUBBER &gt;&gt; 2A0903 | ROULUNDS RUBBER &gt;&gt; 2190 | ROULUNDS RUBBER &gt;&gt; 2150 | TRISCAN &gt;&gt; GA6216MC | TRISCAN &gt;&gt; 160950900 | TRISCAN &gt;&gt; 14016216MC | TRISCAN &gt;&gt; 8610X900 | TRISCAN &gt;&gt; 056216MC | TRISCAN &gt;&gt; 10X0900 | TRISCAN &gt;&gt; 11X0900 | SNR &gt;&gt; AVX11X900 | SNR &gt;&gt; AVX10X900 | JAPANPARTS &gt;&gt; DT10X915LA | JAPANPARTS &gt;&gt; DT10X900LA | JAPANPARTS &gt;&gt; TT901 | JAPANPARTS &gt;&gt; JTT901 | VEYANCE &gt;&gt; 950900 | VEYANCE &gt;&gt; 1704H | VEYANCE &gt;&gt; 10AV0900 | VEYANCE &gt;&gt; 1060H | HUTCHINSON &gt;&gt; AV10LA900 | HUTCHINSON &gt;&gt; AV10890LA900 | HUTCHINSON &gt;&gt; AV10890CR | HUTCHINSON &gt;&gt; 5375 | HUTCHINSON &gt;&gt; 5361 | KLEBER &gt;&gt; AV10890 | KLEBER &gt;&gt; 900 | KLEBER &gt;&gt; 1109 | KLEBER &gt;&gt; 10X900 | UNIPART &gt;&gt; GCB50900 | UNIPART &gt;&gt; GCB10900 | HAVAM &gt;&gt; VS1590 | HAVAM &gt;&gt; VS1117 | HAVAM &gt;&gt; VS1116 | HAVAM &gt;&gt; VG10900 | ACDelco &gt;&gt; AB31013 | FLENNOR &gt;&gt; A5261 | FLENNOR &gt;&gt; A5105 | TOPRAN &gt;&gt; 100956 | TOPRAN &gt;&gt; 100324 | DT &gt;&gt; 480611</t>
  </si>
  <si>
    <t>JP GROUP</t>
  </si>
  <si>
    <t>Length, mm &gt;&gt; 900 | Width, mm &gt;&gt; 10</t>
  </si>
  <si>
    <t>BMW &gt;&gt; 32411258276 | BMW &gt;&gt; 32411266788 | BMW &gt;&gt; 32421711065 | FIAT &gt;&gt; 7301775 | FIAT &gt;&gt; 7302203 | FORD &gt;&gt; 1952516 | FORD &gt;&gt; 1634741 | FORD &gt;&gt; V86BB6C301AA | HONDA &gt;&gt; 56992PH3004 | HONDA &gt;&gt; 56992PC6003 | HONDA &gt;&gt; 56992PG6003 | HONDA &gt;&gt; 56992PH1003 | HONDA &gt;&gt; 56992PH1004 | HONDA &gt;&gt; 56992PG6004 | HONDA &gt;&gt; 56992PC60030 | HONDA &gt;&gt; 56992PC6004 | JAGUAR &gt;&gt; C29607 | MAZDA &gt;&gt; N30413715 | MERCEDES-BENZ &gt;&gt; 0079977892 | MERCEDES-BENZ &gt;&gt; 0009978492 | MERCEDES-BENZ &gt;&gt; 0069970292 | MERCEDES-BENZ &gt;&gt; A0009978492 | MERCEDES-BENZ &gt;&gt; A0069970292 | MERCEDES-BENZ &gt;&gt; A0079977892 | NISSAN &gt;&gt; 117200F300 | NISSAN &gt;&gt; 11720E3005 | NISSAN &gt;&gt; 11720N8500 | NISSAN &gt;&gt; 11720E3001 | NISSAN &gt;&gt; 0211790513 | NISSAN &gt;&gt; 0211790013 | NISSAN &gt;&gt; 11720PO300 | NISSAN &gt;&gt; 11720N9700 | OPEL &gt;&gt; 1340703 | OPEL &gt;&gt; 1340739 | OPEL &gt;&gt; 1340697 | OPEL &gt;&gt; 1336671 | OPEL &gt;&gt; 3013022 | OPEL &gt;&gt; 3013012 | PEUGEOT &gt;&gt; 575032 | PEUGEOT &gt;&gt; 575029 | PEUGEOT &gt;&gt; 574921 | PEUGEOT &gt;&gt; 400325 | RENAULT &gt;&gt; 7700630569 | ROVER &gt;&gt; 1H1001 | ROVER &gt;&gt; 1G2716 | ROVER &gt;&gt; 151515 | ROVER &gt;&gt; 13H8310 | ROVER &gt;&gt; 13H923 | ROVER &gt;&gt; 596433 | ROVER &gt;&gt; TKC386 | ROVER &gt;&gt; TCK0366 | ROVER &gt;&gt; GFB10900 | ROVER &gt;&gt; IG2716 | ROVER &gt;&gt; IH1001 | ROVER &gt;&gt; GFB176 | ROVER &gt;&gt; GFB103 | ROVER &gt;&gt; AEA489 | SUBARU &gt;&gt; 809110290 | SUBARU &gt;&gt; 809110380 | TOYOTA &gt;&gt; 9952110902 | TOYOTA &gt;&gt; 9952110897 | TOYOTA &gt;&gt; 9932150895 | TOYOTA &gt;&gt; 9932100895 | TOYOTA &gt;&gt; 9091602074 | VAG &gt;&gt; 046145271A | VAG &gt;&gt; 111903137E | VAG &gt;&gt; 111903137D | VAG &gt;&gt; 028145271F | VAG &gt;&gt; 111903137C | VAG &gt;&gt; 111903137B | VAG &gt;&gt; 068121039M | VAG &gt;&gt; 053903137 | VAG &gt;&gt; 048903137 | FERRARI &gt;&gt; 125772 | GENERAL MOTORS &gt;&gt; 9292427 | GENERAL MOTORS &gt;&gt; 90352615 | GENERAL MOTORS &gt;&gt; 90448698 | GENERAL MOTORS &gt;&gt; 90091743 | GENERAL MOTORS &gt;&gt; 09292427 | GENERAL MOTORS &gt;&gt; 11053599 | LUCAS ELECTRICAL &gt;&gt; KDB900 | BOSCH &gt;&gt; 1987947793 | BOSCH &gt;&gt; 9134169800 | BOSCH &gt;&gt; 1987947765 | BOSCH &gt;&gt; 9134161180 | BOSCH &gt;&gt; 9124161180 | BOSCH &gt;&gt; 1987947608 | BOSCH &gt;&gt; 1987947637 | BOSCH &gt;&gt; 9104169800 | BOSCH &gt;&gt; 9104163180 | BOSCH &gt;&gt; 9104161181 | BOSCH &gt;&gt; 9104161182 | BOSCH &gt;&gt; 9104161180 | BOSCH &gt;&gt; 1987947309 | CONTITECH &gt;&gt; 6587781 | CONTITECH &gt;&gt; 6587037 | CONTITECH &gt;&gt; 6578044 | CONTITECH &gt;&gt; 6578015 | CONTITECH &gt;&gt; V521 | CONTITECH &gt;&gt; V2210 | CONTITECH &gt;&gt; V1947 | CONTITECH &gt;&gt; V1247 | CONTITECH &gt;&gt; 10X905 | CONTITECH &gt;&gt; 119X903LD | CONTITECH &gt;&gt; 119X903 | CONTITECH &gt;&gt; AVX10X905 | CONTITECH &gt;&gt; AVX10X900 | CONTITECH &gt;&gt; AV10900 | CONTITECH &gt;&gt; AV10905 | DAYCO &gt;&gt; 10A0895C | DAYCO &gt;&gt; 10355 | DAYCO &gt;&gt; 843 | DAYCO &gt;&gt; 850SD | DAYCO &gt;&gt; 6710D | DAYCO &gt;&gt; 6710 | DAYCO &gt;&gt; 10353 | DAYCO &gt;&gt; VS900 | DAYCO &gt;&gt; VS800 | DAYCO &gt;&gt; 11A0908C | DAYCO &gt;&gt; 11A0902C | DAYCO &gt;&gt; 11A0900C | DAYCO &gt;&gt; 4072 | DAYCO &gt;&gt; 10A0905C | DAYCO &gt;&gt; 10A0900GL | DAYCO &gt;&gt; 2169 | DAYCO &gt;&gt; 2050 | DAYCO &gt;&gt; 10A0900C | DAYCO &gt;&gt; 2010 | SKF &gt;&gt; VKMV119X903 | SKF &gt;&gt; VKMV10AVX905 | SKF &gt;&gt; VKMV10AVX900 | HERTH+BUSS JAKOPARTS &gt;&gt; J1010900 | FERODO &gt;&gt; VS900 | FERODO &gt;&gt; V958 | FERODO &gt;&gt; V1058 | OPTIBELT &gt;&gt; 95X905 | OPTIBELT &gt;&gt; 9800XDA | OPTIBELT &gt;&gt; 95X900 | OPTIBELT &gt;&gt; 11A900 | OPTIBELT &gt;&gt; AVX119X903 | OPTIBELT &gt;&gt; 1182XDA | OPTIBELT &gt;&gt; AVX10X900 | OPTIBELT &gt;&gt; 1180DA | OPTIBELT &gt;&gt; 1180 | MINTEX &gt;&gt; WFT351 | MINTEX &gt;&gt; PWFT900 | ROULUNDS RUBBER &gt;&gt; 1A0905 | ROULUNDS RUBBER &gt;&gt; 1A0900 | ROULUNDS RUBBER &gt;&gt; 1980 | ROULUNDS RUBBER &gt;&gt; 2A0903 | ROULUNDS RUBBER &gt;&gt; 2190 | ROULUNDS RUBBER &gt;&gt; 2150 | SNR &gt;&gt; AVX11X900 | SNR &gt;&gt; AVX10X900 | JAPANPARTS &gt;&gt; TT901 | JAPANPARTS &gt;&gt; JTT901 | JAPANPARTS &gt;&gt; DT10X915LA | JAPANPARTS &gt;&gt; DT10X900LA | VEYANCE &gt;&gt; 950900 | VEYANCE &gt;&gt; 1060H | VEYANCE &gt;&gt; 1704H | VEYANCE &gt;&gt; 10AV0900 | HUTCHINSON &gt;&gt; 5375 | HUTCHINSON &gt;&gt; 5361 | HUTCHINSON &gt;&gt; AV10LA900 | HUTCHINSON &gt;&gt; AV10890LA900 | HUTCHINSON &gt;&gt; AV10890CR | KLEBER &gt;&gt; 900 | KLEBER &gt;&gt; 1109 | KLEBER &gt;&gt; 10X900 | KLEBER &gt;&gt; AV10890 | UNIPART &gt;&gt; GCB50900 | UNIPART &gt;&gt; GCB10900 | HAVAM &gt;&gt; VS1590 | HAVAM &gt;&gt; VS1117 | HAVAM &gt;&gt; VS1116 | HAVAM &gt;&gt; VG10900 | ACDelco &gt;&gt; AB31013 | FLENNOR &gt;&gt; A5261 | FLENNOR &gt;&gt; A5105 | BANDO &gt;&gt; 2355 | MITSUBOSHI &gt;&gt; REC95X900 | MITSUBOSHI &gt;&gt; MF1355 | NIPPARTS &gt;&gt; J1100900 | JP GROUP &gt;&gt; QBA900 | BLUE PRINT &gt;&gt; ADN19642 | BLUE PRINT &gt;&gt; ADN19641 | BLUE PRINT &gt;&gt; ADN19603 | DT &gt;&gt; 480611</t>
  </si>
  <si>
    <t>from construction year &gt;&gt; 10/1985 | Driven Units &gt;&gt; Driven unit: power-steering pump</t>
  </si>
  <si>
    <t>BEDFORD &gt;&gt; 90091743 | BMW &gt;&gt; 32411258276 | BMW &gt;&gt; 32411266766 | BMW &gt;&gt; 32421711065 | BMW &gt;&gt; 32411266788 | FIAT &gt;&gt; 7301775 | FIAT &gt;&gt; 7302203 | FORD &gt;&gt; V86BB6C301AA | FORD &gt;&gt; 1634741 | FORD &gt;&gt; 1952516 | HONDA &gt;&gt; 56992PC6003 | HONDA &gt;&gt; 56992PC6004 | HONDA &gt;&gt; 56992PH1004 | HONDA &gt;&gt; 56992PH3004 | HONDA &gt;&gt; 56992PG6003 | HONDA &gt;&gt; 56992PG6004 | HONDA &gt;&gt; 56992PH1003 | MAZDA &gt;&gt; N30413715 | MERCEDES-BENZ &gt;&gt; 0019973792 | MERCEDES-BENZ &gt;&gt; 007753009502 | NISSAN &gt;&gt; 11720N8500 | NISSAN &gt;&gt; 11720E3005 | NISSAN &gt;&gt; 11720E3001 | NISSAN &gt;&gt; 0211790013 | NISSAN &gt;&gt; 117200F300 | NISSAN &gt;&gt; 11720P0300 | NISSAN &gt;&gt; 0211790513 | NISSAN &gt;&gt; 11720N9700 | OPEL &gt;&gt; 3013012 | ROVER &gt;&gt; TKC386 | ROVER &gt;&gt; TCK0366 | ROVER &gt;&gt; GFB10900 | ROVER &gt;&gt; GFB176 | ROVER &gt;&gt; GFB103 | ROVER &gt;&gt; 13H8310 | ROVER &gt;&gt; 13H923 | SUBARU &gt;&gt; 809110290 | SUBARU &gt;&gt; 809110380 | TOYOTA &gt;&gt; 9952110897 | TOYOTA &gt;&gt; 9952110902 | TOYOTA &gt;&gt; 9932150895 | TOYOTA &gt;&gt; 9932100898 | TOYOTA &gt;&gt; 9932100895 | TOYOTA &gt;&gt; 9091602074 | VAUXHALL &gt;&gt; 90016654 | VOLVO &gt;&gt; 1336671 | VAG &gt;&gt; 047903137A | VAG &gt;&gt; 046903137 | VAG &gt;&gt; 111903137E | VAG &gt;&gt; 046145271A | VAG &gt;&gt; 068121039M | VAG &gt;&gt; 053903137 | GENERAL MOTORS &gt;&gt; 90448698 | GENERAL MOTORS &gt;&gt; 90352615 | GENERAL MOTORS &gt;&gt; 1340739 | GENERAL MOTORS &gt;&gt; 1340703 | GENERAL MOTORS &gt;&gt; 6340655 | GENERAL MOTORS &gt;&gt; 1340697 | CITROEN/PEUGEOT &gt;&gt; 575032 | CITROEN/PEUGEOT &gt;&gt; 575029 | CONTITECH &gt;&gt; AVX10X900 | GATES &gt;&gt; 6216MC | DAYCO &gt;&gt; 10A0900C</t>
  </si>
  <si>
    <t>Width, mm &gt;&gt; 10 | Length, mm &gt;&gt; 900</t>
  </si>
  <si>
    <t>BMW &gt;&gt; 32421711065 | BMW &gt;&gt; 32411258276 | BMW &gt;&gt; 32411266788 | DAIHATSU &gt;&gt; 9932100898 | FORD &gt;&gt; V86BB6C301AA | FORD &gt;&gt; 1952516 | FORD &gt;&gt; 1634741 | HONDA &gt;&gt; 56992PC60030 | HONDA &gt;&gt; 56992PC6004 | HONDA &gt;&gt; 56992PC6003 | HONDA &gt;&gt; 56992PH3004 | HONDA &gt;&gt; 56992PG6003 | HONDA &gt;&gt; 56992PH1003 | HONDA &gt;&gt; 56992PH1004 | HONDA &gt;&gt; 56992PG6004 | JAGUAR &gt;&gt; C29607 | MAZDA &gt;&gt; N30413715 | MERCEDES-BENZ &gt;&gt; 0079977892 | MERCEDES-BENZ &gt;&gt; 007753009502 | MERCEDES-BENZ &gt;&gt; 0069970292 | MERCEDES-BENZ &gt;&gt; 0019973792 | MERCEDES-BENZ &gt;&gt; 0009978492 | MERCEDES-BENZ &gt;&gt; A95X900N275 | MERCEDES-BENZ &gt;&gt; A007753009502 | MERCEDES-BENZ &gt;&gt; A0079977892 | MERCEDES-BENZ &gt;&gt; A0009978492 | MERCEDES-BENZ &gt;&gt; A0019973792 | MERCEDES-BENZ &gt;&gt; A0069970292 | MERCEDES-BENZ &gt;&gt; 95X900N275 | NISSAN &gt;&gt; 11720PO300 | NISSAN &gt;&gt; 11720N8500 | NISSAN &gt;&gt; 11720N9700 | NISSAN &gt;&gt; 11720E3005 | NISSAN &gt;&gt; 0211790513 | NISSAN &gt;&gt; 11720E3001 | NISSAN &gt;&gt; 117200F300 | NISSAN &gt;&gt; 0211790013 | OPEL &gt;&gt; 3013012 | OPEL &gt;&gt; 3013022 | OPEL &gt;&gt; 1340739 | OPEL &gt;&gt; 1340703 | OPEL &gt;&gt; 1340697 | OPEL &gt;&gt; 1336671 | ROVER &gt;&gt; 1H1001 | ROVER &gt;&gt; 1G2716 | ROVER &gt;&gt; TKC386 | ROVER &gt;&gt; TCK0366 | ROVER &gt;&gt; IG2716 | ROVER &gt;&gt; IH1001 | ROVER &gt;&gt; GFB10900 | ROVER &gt;&gt; GFB176 | ROVER &gt;&gt; GFB103 | ROVER &gt;&gt; AEA489 | ROVER &gt;&gt; 151515 | ROVER &gt;&gt; 13H923 | ROVER &gt;&gt; 13H8310 | ROVER &gt;&gt; 596433 | SUBARU &gt;&gt; 809110380 | SUBARU &gt;&gt; 809110290 | TOYOTA &gt;&gt; 9952110902 | TOYOTA &gt;&gt; 9952110897 | TOYOTA &gt;&gt; 9932150895 | TOYOTA &gt;&gt; 9932100895 | TOYOTA &gt;&gt; 9091602074 | VAG &gt;&gt; 111903137D | VAG &gt;&gt; 111903137C | VAG &gt;&gt; 111903137B | VAG &gt;&gt; 068121039M | VAG &gt;&gt; 062145271A | VAG &gt;&gt; 053903137 | VAG &gt;&gt; 048903137 | VAG &gt;&gt; 047903137A | VAG &gt;&gt; 046903137 | VAG &gt;&gt; 046145271A | VAG &gt;&gt; 028145271F | VAG &gt;&gt; 111903137E | ALFAROME/FIAT/LANCI &gt;&gt; 7302203 | ALFAROME/FIAT/LANCI &gt;&gt; 7301775 | GENERAL MOTORS &gt;&gt; 11053599 | GENERAL MOTORS &gt;&gt; 9292427 | GENERAL MOTORS &gt;&gt; 90448698 | GENERAL MOTORS &gt;&gt; 90352615 | GENERAL MOTORS &gt;&gt; 90091743 | CITROEN/PEUGEOT &gt;&gt; 575032 | CITROEN/PEUGEOT &gt;&gt; 575029 | BOSCH &gt;&gt; 1987947793 | BOSCH &gt;&gt; 1987947765 | BOSCH &gt;&gt; 1987947637 | BOSCH &gt;&gt; 1987947608 | BOSCH &gt;&gt; 1987947309 | CONTITECH &gt;&gt; AVX10X905 | CONTITECH &gt;&gt; AVX10X900 | GATES &gt;&gt; 6216MC | DAYCO &gt;&gt; 10A0900C | DAYCO &gt;&gt; 15355 | OPTIBELT &gt;&gt; AVX10X900 | AE &gt;&gt; SVB10900 | GOODYEAR &gt;&gt; 10AV0900</t>
  </si>
  <si>
    <t>BMW &gt;&gt; 64551734669 | DAIHATSU &gt;&gt; 9091602052 | FORD &gt;&gt; 1511349 | FORD &gt;&gt; 85TF6C301F1A | FORD &gt;&gt; 85TF6C301F2A | FORD &gt;&gt; 85TF6C301FA | FORD &gt;&gt; 6144781 | FORD &gt;&gt; 6158123 | FORD &gt;&gt; 722F8620DC | FORD &gt;&gt; EJ3V0897 | FORD &gt;&gt; 742F8620AA | FORD &gt;&gt; 6158124 | HONDA &gt;&gt; 38920PG6003 | HONDA &gt;&gt; 38920PG6004 | HONDA &gt;&gt; 38920PG6006 | ISUZU &gt;&gt; 8942252090 | ISUZU &gt;&gt; 8941116870 | ISUZU &gt;&gt; 8941675890 | ISUZU &gt;&gt; 8942228800 | ISUZU &gt;&gt; 8941316290 | ISUZU &gt;&gt; 8924252090 | MAZDA &gt;&gt; RF7118381C | MAZDA &gt;&gt; RF7118381B | MAZDA &gt;&gt; RF7118381 | MAZDA &gt;&gt; RF7118381A | MAZDA &gt;&gt; R2S215907 | MAZDA &gt;&gt; RF2L18380B | MAZDA &gt;&gt; RF7115908 | MAZDA &gt;&gt; RF2L18380A | MAZDA &gt;&gt; PN4018381 | MAZDA &gt;&gt; B6S718381A | MAZDA &gt;&gt; B6SF18381A | MAZDA &gt;&gt; B6SF18381B | MAZDA &gt;&gt; B6S718381B | MAZDA &gt;&gt; B61H18381A | MAZDA &gt;&gt; 227618381B | MERCEDES-BENZ &gt;&gt; 0059977692 | MERCEDES-BENZ &gt;&gt; A0059977692 | MITSUBISHI &gt;&gt; MB272651 | MITSUBISHI &gt;&gt; MB167065 | NISSAN &gt;&gt; 0211790023 | NISSAN &gt;&gt; 1172016A02 | NISSAN &gt;&gt; 1172005E15 | NISSAN &gt;&gt; 0211791023 | NISSAN &gt;&gt; 1172005E10 | NISSAN &gt;&gt; 11920V2000 | NISSAN &gt;&gt; 1172005E05 | NISSAN &gt;&gt; 0211790526 | NISSAN &gt;&gt; 1192028L00 | NISSAN &gt;&gt; 1172005E00 | NISSAN &gt;&gt; 1175005E10KE | NISSAN &gt;&gt; 1175005E10 | NISSAN &gt;&gt; 1175005E00 | NISSAN &gt;&gt; 0211788523 | NISSAN &gt;&gt; 0211790525 | NISSAN &gt;&gt; 11720Y4000 | NISSAN &gt;&gt; 0211790523 | NISSAN &gt;&gt; 11720V2010 | NISSAN &gt;&gt; 11720P8000 | NISSAN &gt;&gt; 0211793523 | NISSAN &gt;&gt; 1172083000 | NISSAN &gt;&gt; 1172029500 | OPEL &gt;&gt; 1340682 | TOYOTA &gt;&gt; 9091602060 | TOYOTA &gt;&gt; 9091602061 | TOYOTA &gt;&gt; 9091602055 | TOYOTA &gt;&gt; 9087108905 | TOYOTA &gt;&gt; 9952210904 | TOYOTA &gt;&gt; 9952210901 | TOYOTA &gt;&gt; 9952210900 | TOYOTA &gt;&gt; 9952210892 | TOYOTA &gt;&gt; 9952210890 | TOYOTA &gt;&gt; 9933260905 | TOYOTA &gt;&gt; 9933210905 | TOYOTA &gt;&gt; 9933210890 | TOYOTA &gt;&gt; 9933200905 | TOYOTA &gt;&gt; 9933210880 | TOYOTA &gt;&gt; 9933200890 | TOYOTA &gt;&gt; 9933200900 | TOYOTA &gt;&gt; 9932200890 | TOYOTA &gt;&gt; 9932200900 | VOLVO &gt;&gt; 978383 | KIA &gt;&gt; 0K65B15907C | VAG &gt;&gt; 063903137 | GENERAL MOTORS &gt;&gt; 9201832 | GENERAL MOTORS &gt;&gt; 91145737 | GENERAL MOTORS &gt;&gt; 94411860 | GENERAL MOTORS &gt;&gt; 93891618 | GENERAL MOTORS &gt;&gt; 94222880 | CITROEN/PEUGEOT &gt;&gt; 645701 | BOSCH &gt;&gt; 1987947653 | BOSCH &gt;&gt; 1987947404 | CONTITECH &gt;&gt; AVX13X910 | CONTITECH &gt;&gt; AVX13X900 | GATES &gt;&gt; 6466MC | DAYCO &gt;&gt; 13A0903C | DAYCO &gt;&gt; 13A0900C | DAYCO &gt;&gt; 17355 | DAYCO &gt;&gt; 17350 | OPTIBELT &gt;&gt; AVX13X900TM | OPTIBELT &gt;&gt; AVX13X900 | AE &gt;&gt; SVB13900 | GOODYEAR &gt;&gt; 13AV0900HD | GOODYEAR &gt;&gt; 13AV0900</t>
  </si>
  <si>
    <t>Ext. Teeth, wheel side,  &gt;&gt; 26 | Length, mm &gt;&gt; 588 | Ext. Teeth, diff.side,  &gt;&gt; 27</t>
  </si>
  <si>
    <t>Braking / Drive Dynamics &gt;&gt; for vehicles without ABS | Fitting Position &gt;&gt; Front Axle Left</t>
  </si>
  <si>
    <t>INTERPARTS &gt;&gt; HO804109</t>
  </si>
  <si>
    <t>Braking / Drive Dynamics &gt;&gt; for vehicles without ABS | Fitting Position &gt;&gt; Front Axle Right</t>
  </si>
  <si>
    <t>CARDONE &gt;&gt; 665267 | INTERPARTS &gt;&gt; HO804206</t>
  </si>
  <si>
    <t>Gasket, exhaust manifold</t>
  </si>
  <si>
    <t>HONDA &gt;&gt; 18115PO0004 | REINZ &gt;&gt; 715238200 | GLASER &gt;&gt; X8214701 | AJUSA &gt;&gt; 13084900</t>
  </si>
  <si>
    <t>Exhaust Manifold</t>
  </si>
  <si>
    <t>BGA</t>
  </si>
  <si>
    <t>Thickness/Strength, mm &gt;&gt; 0,4 | Length, mm &gt;&gt; 335 | Width, mm &gt;&gt; 70</t>
  </si>
  <si>
    <t>from construction year &gt;&gt; 01/1989 | Engine Code &gt;&gt; ZC</t>
  </si>
  <si>
    <t>ROVER &gt;&gt; 18115PM3000 | ROVER &gt;&gt; 18115P00004 | ROVER &gt;&gt; 18115P00003 | ROVER &gt;&gt; 18114P00004 | REINZ &gt;&gt; 705238200 | PAYEN &gt;&gt; JD052 | AJUSA &gt;&gt; 13084900 | ELWIS ROYAL &gt;&gt; 0331524 | FAI AutoParts &gt;&gt; EM914</t>
  </si>
  <si>
    <t>Gasket, intake manifold</t>
  </si>
  <si>
    <t>HONDA &gt;&gt; 17105P08004 | HONDA &gt;&gt; 17105PO8004 | ELWIS ROYAL &gt;&gt; 0231516 | BGA &gt;&gt; MG3593</t>
  </si>
  <si>
    <t>Intake Manifold</t>
  </si>
  <si>
    <t>Thickness/Strength, mm &gt;&gt; 1 | Length, mm &gt;&gt; 350 | Width, mm &gt;&gt; 70</t>
  </si>
  <si>
    <t>from construction year &gt;&gt; 01/1989 | Engine Code &gt;&gt; ZC | Fitting Position &gt;&gt; Outer</t>
  </si>
  <si>
    <t>HONDA &gt;&gt; 17105PO0T01 | HONDA &gt;&gt; 17105P00T02 | HONDA &gt;&gt; 17105P00T01 | PAYEN &gt;&gt; JD051 | AJUSA &gt;&gt; 13109500 | ELWIS ROYAL &gt;&gt; 0231515 | FAI AutoParts &gt;&gt; IM916</t>
  </si>
  <si>
    <t>Thickness/Strength, mm &gt;&gt; 1 | Length, mm &gt;&gt; 345 | Width, mm &gt;&gt; 70</t>
  </si>
  <si>
    <t>from construction year &gt;&gt; 01/1989 | Engine Code &gt;&gt; ZC | Fitting Position &gt;&gt; inner</t>
  </si>
  <si>
    <t>HONDA &gt;&gt; 17105P07004 | HONDA &gt;&gt; 17105P07003 | HONDA &gt;&gt; 17105PM3004 | HONDA &gt;&gt; 17105PM3003 | REINZ &gt;&gt; 715235600 | PAYEN &gt;&gt; JC863 | AJUSA &gt;&gt; 13084800 | ELWIS ROYAL &gt;&gt; 0231514 | FAI AutoParts &gt;&gt; IM914</t>
  </si>
  <si>
    <t>RYMEC</t>
  </si>
  <si>
    <t>LuK</t>
  </si>
  <si>
    <t>HONDA &gt;&gt; 22810PB6921 | HONDA &gt;&gt; 22810PC8921 | HONDA &gt;&gt; 22810PB6922 | HONDA &gt;&gt; 22810PC8923 | HONDA &gt;&gt; 22810PC8922 | SACHS &gt;&gt; 3151817001 | SKF &gt;&gt; VKC3508 | HERTH+BUSS JAKOPARTS &gt;&gt; J2404006 | BORG &amp; BECK &gt;&gt; L0204 | BORG &amp; BECK &gt;&gt; HD5092 | BORG &amp; BECK &gt;&gt; HD05092 | BORG &amp; BECK &gt;&gt; L204 | DAIKIN &gt;&gt; BRG370 | KOYO &gt;&gt; RCTS31SA | NSK-RHP &gt;&gt; 55TKA3102 | NSK-RHP &gt;&gt; 55TKA3102A | NTN &gt;&gt; FCR5552E | NTN &gt;&gt; X10FCR5552E | BLUE PRINT &gt;&gt; ADH23303</t>
  </si>
  <si>
    <t>HONDA &gt;&gt; 43153SB6003 | HONDA &gt;&gt; 43153SB6671 | HONDA &gt;&gt; 43153SH5G01 | HONDA &gt;&gt; 43153SN4003 | HONDA &gt;&gt; 43153SH5A01 | HONDA &gt;&gt; 43153SH5A02 | HONDA &gt;&gt; 43153SH5003 | HONDA &gt;&gt; 43153SH5013 | HONDA &gt;&gt; 43153SD9S05 | HONDA &gt;&gt; 43153SH3A02 | HONDA &gt;&gt; 43153SD9672 | HONDA &gt;&gt; 43153SD9N51 | HONDA &gt;&gt; 43153SD9003 | HONDA &gt;&gt; 43153SD9671 | ATE &gt;&gt; 650213 | ATE &gt;&gt; 03013702132 | PAGID &gt;&gt; H8445 | LUCAS ELECTRICAL &gt;&gt; GS8201 | VALEO &gt;&gt; 562543 | BOSCH &gt;&gt; 0986487356 | TEXTAR &gt;&gt; 981010371 | TEXTAR &gt;&gt; 91037100 | JURID &gt;&gt; 361605J | BENDIX &gt;&gt; 361605B | HERTH+BUSS JAKOPARTS &gt;&gt; J3504009 | FERODO &gt;&gt; FSB220 | MINTEX &gt;&gt; MFR206 | PEX &gt;&gt; 6132 | DELPHI &gt;&gt; LS1332 | METZGER &gt;&gt; MG465 | TRW &gt;&gt; GS8201 | TRW &gt;&gt; GS6210 | HP (ZEBRA) &gt;&gt; 1392 | ROULUNDS BRAKING &gt;&gt; 680465 | NECTO &gt;&gt; N1361 | NIPPARTS &gt;&gt; J3504009 | sbs &gt;&gt; 18492726435 | sbs &gt;&gt; 18492726418 | LUCAS &gt;&gt; GS8201</t>
  </si>
  <si>
    <t>Num. of holes,  &gt;&gt; 4 | for Art.No.,  &gt;&gt; H1131V | Centering Diameter, mm &gt;&gt; 61 | O, mm &gt;&gt; 231 | Brake Disc Thickness, mm &gt;&gt; 17 | Height, mm &gt;&gt; 44 | Brake Disc Type,  &gt;&gt; Internally Vented | Min. thickness, mm &gt;&gt; 15</t>
  </si>
  <si>
    <t>to construction year &gt;&gt; 04/1986 | Fitting Position &gt;&gt; Front Axle | Country Version &gt;&gt; USA | Country Version &gt;&gt; Europe</t>
  </si>
  <si>
    <t>HONDA &gt;&gt; 45251SB2751 | HONDA &gt;&gt; XAP88 | HONDA &gt;&gt; 45251SB2 | HONDA &gt;&gt; 45251SB2750 | HONDA &gt;&gt; 45251SB2752 | HONDA &gt;&gt; 45251SB2931 | HONDA &gt;&gt; 45251SB2940 | HONDA &gt;&gt; 45251SB2932 | HONDA &gt;&gt; 45251SB2920 | HONDA &gt;&gt; 45251SB2930 | ROVER &gt;&gt; GBD90814 | ROVER &gt;&gt; GBD90825 | ROVER &gt;&gt; GBD443 | ROVER &gt;&gt; GBD90803 | ROVER &gt;&gt; DPB7594 | ROVER &gt;&gt; DBP7954 | ATE &gt;&gt; 24011701011 | BOSCH &gt;&gt; 0986478203 | TEXTAR &gt;&gt; 92046500 | JURID &gt;&gt; 561348J | BENDIX &gt;&gt; 561348B | FTE &gt;&gt; BS3525 | QUINTON HAZELL &gt;&gt; BDC3525 | FERODO &gt;&gt; DDF571 | FERODO &gt;&gt; DDF152 | BREMBO &gt;&gt; 09310220 | BREMBO &gt;&gt; 09310210 | MINTEX &gt;&gt; MDC343 | ZIMMERMANN &gt;&gt; 280208500 | DELPHI &gt;&gt; BG2451 | METELLI &gt;&gt; 230176 | METELLI &gt;&gt; 230165 | ROADHOUSE &gt;&gt; 636810 | REMSA &gt;&gt; 636810 | JAPANPARTS &gt;&gt; DI413 | GRAF &gt;&gt; DF9176 | GRAF &gt;&gt; DF29165 | KWP &gt;&gt; 129176 | TRW &gt;&gt; DF1815 | BRADI &gt;&gt; 1191224 | BRECO &gt;&gt; 09310220 | BRECO &gt;&gt; BS7955 | BRECO &gt;&gt; BS7893 | BRECO &gt;&gt; 09310210 | INTERBRAKE &gt;&gt; HO133V | INTERBRAKE &gt;&gt; HO131V | CAR &gt;&gt; 142915 | Brake ENGINEERING &gt;&gt; DI951380 | APEC braking &gt;&gt; DSK214 | FREMAX &gt;&gt; BD1702 | PILENGA &gt;&gt; V309 | CIFAM &gt;&gt; 800176 | CIFAM &gt;&gt; 800165 | SAMKO &gt;&gt; H1131V | URPA &gt;&gt; 101591</t>
  </si>
  <si>
    <t>SAKURA</t>
  </si>
  <si>
    <t>Fitting Position,  &gt;&gt; Front Axle | Brake Disc Thickness, mm &gt;&gt; 17 | Height, mm &gt;&gt; 44 | Centering Diameter, mm &gt;&gt; 61 | Production Number,  &gt;&gt; S6046640</t>
  </si>
  <si>
    <t>HONDA &gt;&gt; 45251SB2932 | HONDA &gt;&gt; 45251SB2940 | HONDA &gt;&gt; 45251SB2930 | HONDA &gt;&gt; 45251SB2931 | HONDA &gt;&gt; 45251SB2751 | HONDA &gt;&gt; 45251SB2752 | HONDA &gt;&gt; 45251SB2750 | ROVER &gt;&gt; GBD90803 | ROVER &gt;&gt; GBD90825 | ROVER &gt;&gt; GBD90814 | ROVER &gt;&gt; DBP7954 | ATE &gt;&gt; 24011701011 | PAGID &gt;&gt; 51110 | VALEO &gt;&gt; 186430 | VALEO &gt;&gt; DF736 | VALEO &gt;&gt; 186233 | BOSCH &gt;&gt; 0986478203 | TEXTAR &gt;&gt; 92046500 | TEXTAR &gt;&gt; 98200046501 | JURID &gt;&gt; 561348J | BENDIX &gt;&gt; 561348B | FTE &gt;&gt; BS3525 | HERTH+BUSS JAKOPARTS &gt;&gt; J3304013 | QUINTON HAZELL &gt;&gt; BSF3525 | QUINTON HAZELL &gt;&gt; BDC3525 | QUINTON HAZELL &gt;&gt; 636810 | FERODO &gt;&gt; DDF5711 | FERODO &gt;&gt; DDF1521 | FERODO &gt;&gt; DDF571 | FERODO &gt;&gt; DDF152 | BREMBO &gt;&gt; 09310220 | BREMBO &gt;&gt; 09310210 | MINTEX &gt;&gt; MDC343 | PEX &gt;&gt; 140220 | ZIMMERMANN &gt;&gt; 280208500 | DELPHI &gt;&gt; BG451 | DELPHI &gt;&gt; BG2451 | METELLI &gt;&gt; 230176 | METELLI &gt;&gt; 230165 | NK &gt;&gt; 204008 | NK &gt;&gt; 202605 | ROADHOUSE &gt;&gt; 636810 | REMSA &gt;&gt; 636810 | GRAF &gt;&gt; DF29176 | GRAF &gt;&gt; DF29165 | TRW &gt;&gt; DF1976 | TRW &gt;&gt; DF1815 | BRADI &gt;&gt; 1191224 | BRECO &gt;&gt; BS7893 | BRECO &gt;&gt; BS7955 | SEBRO &gt;&gt; 3410 | ROULUNDS BRAKING &gt;&gt; D2318 | CAR &gt;&gt; 142915 | NIPPARTS &gt;&gt; J3304013 | MGA &gt;&gt; D976 | MGA &gt;&gt; D965 | PILENGA &gt;&gt; V309 | CIFAM &gt;&gt; 800176 | CIFAM &gt;&gt; 800165</t>
  </si>
  <si>
    <t>Fitting Position,  &gt;&gt; Front Axle | Brake Disc Type,  &gt;&gt; Vented | Brake Disc Thickness, mm &gt;&gt; 17 | O, mm &gt;&gt; 231 | Bolt Hole Circle O, mm &gt;&gt; 100 | Num. of holes,  &gt;&gt; 4 | Min. thickness, mm &gt;&gt; 15 | Height, mm &gt;&gt; 44</t>
  </si>
  <si>
    <t>HONDA &gt;&gt; 45251SA2751 | HONDA &gt;&gt; 45251SB2931 | HONDA &gt;&gt; 45251SB2932 | HONDA &gt;&gt; 45251SB2940 | HONDA &gt;&gt; 45251SB2750 | HONDA &gt;&gt; 45251SB2751 | HONDA &gt;&gt; 45251SB2920 | HONDA &gt;&gt; 45251SB2930 | HONDA &gt;&gt; 45251SB2752 | ROVER &gt;&gt; GBD90825 | ROVER &gt;&gt; XAP88 | ROVER &gt;&gt; GBD90803 | ROVER &gt;&gt; GBD90814 | ROVER &gt;&gt; GBD443 | ROVER &gt;&gt; DBP7954 | ATE &gt;&gt; 24011701011 | PAGID &gt;&gt; 51110 | VALEO &gt;&gt; 186430 | BOSCH &gt;&gt; 0986478203 | TEXTAR &gt;&gt; 92046500 | JURID &gt;&gt; 561348J | BENDIX &gt;&gt; 561348B | QUINTON HAZELL &gt;&gt; BDC3525 | FERODO &gt;&gt; DDF152 | BREMBO &gt;&gt; 09310210 | MINTEX &gt;&gt; MDC343 | PEX &gt;&gt; 140220 | ZIMMERMANN &gt;&gt; 280208500 | DELPHI &gt;&gt; BG2451 | FARCOM &gt;&gt; 230110 | METZGER &gt;&gt; 636810 | MAGNETI MARELLI &gt;&gt; 360406013500 | TRISCAN &gt;&gt; 812040102 | METELLI &gt;&gt; 230165 | NK &gt;&gt; 202605 | OPTIMAL &gt;&gt; BS3680 | MEYLE &gt;&gt; 31155210007 | ROADHOUSE &gt;&gt; 636810 | VAICO &gt;&gt; V2680004 | QH Benelux &gt;&gt; HP53487 | A.B.S. &gt;&gt; 15599 | LPR &gt;&gt; H1131V | TRUSTING &gt;&gt; DF269 | GRAF &gt;&gt; DF29165 | TRW &gt;&gt; DF1815 | BRECO &gt;&gt; BS7893 | ACDelco &gt;&gt; AC2318D | CAR &gt;&gt; 142915 | FREMAX &gt;&gt; BD1702 | KAGER &gt;&gt; 370185 | GIRLING &gt;&gt; 6018151 | AP &gt;&gt; 24149 | PILENGA &gt;&gt; V309 | fri.tech. &gt;&gt; DF269 | sbs &gt;&gt; 1815202605 | E.T.F. &gt;&gt; 191702 | CIFAM &gt;&gt; 800165 | WOKING &gt;&gt; D636810 | VILLAR &gt;&gt; 6281497 | FIRST LINE &gt;&gt; FBD007 | STOP &gt;&gt; 561348S | ABE &gt;&gt; C34013ABE</t>
  </si>
  <si>
    <t>HONDA &gt;&gt; 45251SB2780 | HONDA &gt;&gt; 45251SB2982 | HONDA &gt;&gt; 45251SB2990 | HONDA &gt;&gt; 45251SB2781 | HONDA &gt;&gt; 45251SB2782 | HONDA &gt;&gt; 45251SB2980 | HONDA &gt;&gt; 45251SB2981 | ATE &gt;&gt; 24011901061 | PAGID &gt;&gt; 51113 | VALEO &gt;&gt; 186431 | BOSCH &gt;&gt; 0986478503 | LEMFORDER &gt;&gt; 2246801 | TEXTAR &gt;&gt; 92060700 | JURID &gt;&gt; 561384J | BENDIX &gt;&gt; 561384B | FTE &gt;&gt; BS3591 | QUINTON HAZELL &gt;&gt; BDC3591 | FERODO &gt;&gt; DDF377 | BREMBO &gt;&gt; 09502310 | MINTEX &gt;&gt; MDC645 | PEX &gt;&gt; 140221 | ZIMMERMANN &gt;&gt; 280208800 | DELPHI &gt;&gt; BG2399 | FARCOM &gt;&gt; 230111 | METZGER &gt;&gt; 636910 | ROULUNDS RUBBER &gt;&gt; D2195 | TRISCAN &gt;&gt; 812040103 | METELLI &gt;&gt; 230306 | NK &gt;&gt; 202612 | OPTIMAL &gt;&gt; BS3690 | MAPCO &gt;&gt; 15610 | MEYLE &gt;&gt; 31155210011PD | ROADHOUSE &gt;&gt; 636910 | QH Benelux &gt;&gt; HP53480 | A.B.S. &gt;&gt; 15938 | LPR &gt;&gt; H1141V | TRUSTING &gt;&gt; DF236 | GRAF &gt;&gt; DF29306 | TRW &gt;&gt; DF1963 | BRECO &gt;&gt; BS7938 | ACDelco &gt;&gt; AC2195D | CAR &gt;&gt; 142916 | FREMAX &gt;&gt; BD0838 | KAGER &gt;&gt; 370003 | GIRLING &gt;&gt; 6019631 | AP &gt;&gt; 24202 | KAWE &gt;&gt; 636910 | PILENGA &gt;&gt; V305 | fri.tech. &gt;&gt; DF236 | sbs &gt;&gt; 1815202612 | E.T.F. &gt;&gt; 190838 | CIFAM &gt;&gt; 800306 | WOKING &gt;&gt; D636910 | VILLAR &gt;&gt; 6281496 | OPEN PARTS &gt;&gt; BDR120420 | FIRST LINE &gt;&gt; FBD048 | VEMA &gt;&gt; 98291 | ABE &gt;&gt; C34019ABE</t>
  </si>
  <si>
    <t xml:space="preserve">O, mm &gt;&gt; 231 | Brake Disc Thickness, mm &gt;&gt; 17 | Min. thickness, mm &gt;&gt; 15 | Brake Disc Type,  &gt;&gt; Vented | Num. of holes,  &gt;&gt; 4 | Bolt Hole Circle O, mm &gt;&gt; 100 | Height, mm &gt;&gt; 44 | Centering Diameter, mm &gt;&gt; 61 | Inner Diameter, mm &gt;&gt; 124 | Bore O, mm &gt;&gt; 12,6 | Brake System,  &gt;&gt; Akebono | MAPP code available,  &gt;&gt; </t>
  </si>
  <si>
    <t>to construction year &gt;&gt; 04/1986 | Equipment Variant &gt;&gt; fur USA/Europa | Fitting Position &gt;&gt; Front Axle</t>
  </si>
  <si>
    <t>HONDA &gt;&gt; 45251SB2751 | HONDA &gt;&gt; 45251SB2750 | HONDA &gt;&gt; 45251SB2752 | HONDA &gt;&gt; 45251SB2932 | HONDA &gt;&gt; 45251SB2940 | HONDA &gt;&gt; 45251SB2930 | HONDA &gt;&gt; 45251SB2931 | ROVER &gt;&gt; GBD90803 | ROVER &gt;&gt; GBD90814 | ROVER &gt;&gt; GBD90825 | ROVER &gt;&gt; DBP7954 | PAGID &gt;&gt; 51110 | VALEO &gt;&gt; 186233 | VALEO &gt;&gt; DF736 | VALEO &gt;&gt; 186430 | BOSCH &gt;&gt; 0986478203 | TEXTAR &gt;&gt; 98200046501 | TEXTAR &gt;&gt; 92046500 | JURID &gt;&gt; 561348J | BENDIX &gt;&gt; 561348B | FTE &gt;&gt; BS3525 | HERTH+BUSS JAKOPARTS &gt;&gt; J3304013 | QUINTON HAZELL &gt;&gt; 636810 | QUINTON HAZELL &gt;&gt; BSF3525 | QUINTON HAZELL &gt;&gt; BDC3525 | FERODO &gt;&gt; DDF5711 | FERODO &gt;&gt; DDF1521 | FERODO &gt;&gt; DDF571 | FERODO &gt;&gt; DDF152 | BREMBO &gt;&gt; 09310210 | BREMBO &gt;&gt; 09310220 | MINTEX &gt;&gt; MDC343 | PEX &gt;&gt; 140220 | ZIMMERMANN &gt;&gt; 280208500 | DELPHI &gt;&gt; BG451 | DELPHI &gt;&gt; BG2451 | METELLI &gt;&gt; 230176 | METELLI &gt;&gt; 230165 | NK &gt;&gt; 204008 | NK &gt;&gt; 202605 | ROADHOUSE &gt;&gt; 636810 | REMSA &gt;&gt; 636810 | GRAF &gt;&gt; DF29176 | GRAF &gt;&gt; DF29165 | TRW &gt;&gt; DF1976 | TRW &gt;&gt; DF1815 | BRADI &gt;&gt; 1191224 | BRECO &gt;&gt; BS7955 | BRECO &gt;&gt; BS7893 | SEBRO &gt;&gt; 3410 | ROULUNDS BRAKING &gt;&gt; D2318 | CAR &gt;&gt; 142915 | NIPPARTS &gt;&gt; J3304013 | MGA &gt;&gt; D976 | MGA &gt;&gt; D965 | PILENGA &gt;&gt; V309 | CIFAM &gt;&gt; 800176 | CIFAM &gt;&gt; 800165</t>
  </si>
  <si>
    <t>HONDA &gt;&gt; 42510SH3000 | HONDA &gt;&gt; 42510SE0010 | HONDA &gt;&gt; 42510SE0000 | HONDA &gt;&gt; 42510SD2930 | HONDA &gt;&gt; 42510SK3E00 | HONDA &gt;&gt; 42510SK3305 | HONDA &gt;&gt; 42510SH3G00 | MG &gt;&gt; EGP1254 | ROVER &gt;&gt; GBD90817 | ROVER &gt;&gt; EGP1254 | ATE &gt;&gt; 24011002121 | PAGID &gt;&gt; 51106 | LUCAS ELECTRICAL &gt;&gt; 6026574 | LUCAS ELECTRICAL &gt;&gt; 6026464 | LUCAS ELECTRICAL &gt;&gt; DF4004 | LUCAS ELECTRICAL &gt;&gt; DF2657 | LUCAS ELECTRICAL &gt;&gt; DF2646 | BOSCH &gt;&gt; 986478350 | BOSCH &gt;&gt; 0986478350 | TEXTAR &gt;&gt; 98200060801 | TEXTAR &gt;&gt; 92060800 | TEXTAR &gt;&gt; 982000608 | JURID &gt;&gt; 561383J | BENDIX &gt;&gt; 561383B | FTE &gt;&gt; BS4369 | FTE &gt;&gt; BS3649 | QUINTON HAZELL &gt;&gt; BDC5047 | QUINTON HAZELL &gt;&gt; BDC4369 | QUINTON HAZELL &gt;&gt; BDC3649 | QUINTON HAZELL &gt;&gt; 652100 | QUINTON HAZELL &gt;&gt; 608300 | QUINTON HAZELL &gt;&gt; BSF4369 | QUINTON HAZELL &gt;&gt; BSF5047 | QUINTON HAZELL &gt;&gt; BSF3649 | FERODO &gt;&gt; DDF468 | FERODO &gt;&gt; DDF785 | BREMBO &gt;&gt; 08960510 | BREMBO &gt;&gt; 08710475 | BREMBO &gt;&gt; 8960510 | BREMBO &gt;&gt; 8710475 | BREMBO &gt;&gt; 08710414 | BREMBO &gt;&gt; 8710414 | BREMBO &gt;&gt; 8710410 | BREMBO &gt;&gt; 8683710 | BREMBO &gt;&gt; 08710410 | BREMBO &gt;&gt; 08683710 | HERTH+BUSS ELPARTS &gt;&gt; J3314003 | MINTEX &gt;&gt; MDC644 | DELPHI &gt;&gt; BG2538 | ROULUNDS RUBBER &gt;&gt; D2196 | METELLI &gt;&gt; 230267 | NK &gt;&gt; 1815202613 | ROADHOUSE &gt;&gt; 652100 | ROADHOUSE &gt;&gt; 608300 | REMSA &gt;&gt; 652100 | REMSA &gt;&gt; 608300 | JAPANPARTS &gt;&gt; DP402 | A.B.S. &gt;&gt; 15983OE | A.B.S. &gt;&gt; 15983 | A.B.S. &gt;&gt; 15964 | LPR &gt;&gt; H1171P | TRUSTING &gt;&gt; DF051 | TRW &gt;&gt; DF4004 | TRW &gt;&gt; DF2657 | TRW &gt;&gt; DF2646 | TRIPLE FIVE &gt;&gt; ADC3313 | TRIPLE FIVE &gt;&gt; YH1056 | TRIPLE FIVE &gt;&gt; E169207 | ASHIKA &gt;&gt; 6104402 | NIPPARTS &gt;&gt; J3314003 | MGA &gt;&gt; D1067 | ABEX &gt;&gt; W0613 | PILENGA &gt;&gt; 5304 | sbs &gt;&gt; 1815202613 | DEX &gt;&gt; DF051 | MOTAQUIP &gt;&gt; VBD457 | MOTAQUIP &gt;&gt; LVBD457 | NPS &gt;&gt; H331A02</t>
  </si>
  <si>
    <t>O, mm &gt;&gt; 231 | Height, mm &gt;&gt; 44 | Bore O, mm &gt;&gt; 12,6 | Brake Disc Type,  &gt;&gt; Vented | Brake Disc Thickness, mm &gt;&gt; 17 | Min. thickness, mm &gt;&gt; 15 | Inner Diameter, mm &gt;&gt; 124 | Num. of holes,  &gt;&gt; 4 | Centering Diameter, mm &gt;&gt; 61 | Bolt Hole Circle O, mm &gt;&gt; 100 | Fitting Position,  &gt;&gt; Front Axle</t>
  </si>
  <si>
    <t>to construction year &gt;&gt; 04/1986</t>
  </si>
  <si>
    <t>HONDA &gt;&gt; 45251SB2932 | HONDA &gt;&gt; 45251SB2940 | HONDA &gt;&gt; 45251SB2751 | HONDA &gt;&gt; 45251SB2930 | HONDA &gt;&gt; 45251SB2931 | HONDA &gt;&gt; 45251SB2752 | HONDA &gt;&gt; 45251SB2750 | ROVER &gt;&gt; GBD90803 | ROVER &gt;&gt; GBD90814 | ROVER &gt;&gt; GBD90825 | ROVER &gt;&gt; DBP7954 | ATE &gt;&gt; 24011701011 | PAGID &gt;&gt; 51110 | VALEO &gt;&gt; 186430 | BOSCH &gt;&gt; 0986AB9840 | BOSCH &gt;&gt; 0986AB9534 | BOSCH &gt;&gt; 0986AB6319 | BOSCH &gt;&gt; 0986478203 | LEMFORDER &gt;&gt; 1823601 | TEXTAR &gt;&gt; 92046500 | JURID &gt;&gt; 561348J | JURID &gt;&gt; 561495J | BENDIX &gt;&gt; 561495B | BENDIX &gt;&gt; 561348B | HERTH+BUSS JAKOPARTS &gt;&gt; J3304013 | QUINTON HAZELL &gt;&gt; 636810 | QUINTON HAZELL &gt;&gt; BSF3525 | QUINTON HAZELL &gt;&gt; BDC3525 | FERODO &gt;&gt; DDF571 | FERODO &gt;&gt; DDF152 | BREMBO &gt;&gt; 09310220 | BREMBO &gt;&gt; 09310210 | MINTEX &gt;&gt; MDC343 | PEX &gt;&gt; 140220 | ZIMMERMANN &gt;&gt; 280208500 | DELPHI &gt;&gt; BG2451 | FARCOM &gt;&gt; 230110 | METZGER &gt;&gt; 636810 | MAGNETI MARELLI &gt;&gt; 360406013500 | MAGNETI MARELLI &gt;&gt; 353610308140 | TRISCAN &gt;&gt; 812040102 | TRISCAN &gt;&gt; 812040122 | METELLI &gt;&gt; 230176 | METELLI &gt;&gt; 230165 | NK &gt;&gt; 204008 | NK &gt;&gt; 202605 | OPTIMAL &gt;&gt; BS3680 | MEYLE &gt;&gt; 31155210007PD | MEYLE &gt;&gt; 31155210007 | ROADHOUSE &gt;&gt; 636810 | REMSA &gt;&gt; 636810 | JAPANPARTS &gt;&gt; DI413 | RAMEDER &gt;&gt; T0620271 | RAMEDER &gt;&gt; T0620506 | RAMEDER &gt;&gt; T0620230 | QH Benelux &gt;&gt; HP53487 | NATIONAL &gt;&gt; NBD059 | A.B.S. &gt;&gt; 15597 | A.B.S. &gt;&gt; 15599OE | A.B.S. &gt;&gt; 15599 | A.B.S. &gt;&gt; 15597OE | LPR &gt;&gt; H1131V | TRUSTING &gt;&gt; DF269 | KAVO PARTS &gt;&gt; BR2209 | GRAF &gt;&gt; DF29176 | GRAF &gt;&gt; DF29165 | TRW &gt;&gt; DF1815 | BRECO &gt;&gt; BS7955 | BRECO &gt;&gt; BS7893 | ACDelco &gt;&gt; AC2318D | ROULUNDS BRAKING &gt;&gt; D2318 | ASHIKA &gt;&gt; 6004413 | NECTO &gt;&gt; WN639 | NECTO &gt;&gt; WN442 | NECTO &gt;&gt; WN462 | CAR &gt;&gt; 142915 | CAR &gt;&gt; HPD915 | NIPPARTS &gt;&gt; J3304013 | MGA &gt;&gt; D965 | MGA &gt;&gt; D976 | MGA &gt;&gt; D1066 | Brake ENGINEERING &gt;&gt; DI951380 | FENOX &gt;&gt; TB217309 | FREMAX &gt;&gt; BD1702 | KAGER &gt;&gt; 370479 | KAGER &gt;&gt; 370185 | GIRLING &gt;&gt; 6018151 | AP &gt;&gt; 24149 | AP &gt;&gt; 34149 | PILENGA &gt;&gt; V309 | fri.tech. &gt;&gt; DF269 | sbs &gt;&gt; 1815204008 | sbs &gt;&gt; 1815202605 | E.T.F. &gt;&gt; 191702 | CIFAM &gt;&gt; 800176 | CIFAM &gt;&gt; 800165 | WOKING &gt;&gt; D636810 | WOKING &gt;&gt; D608010 | VILLAR &gt;&gt; 6281931 | VILLAR &gt;&gt; 6281497 | OPEN PARTS &gt;&gt; BDR120320 | FIRST LINE &gt;&gt; FBD007 | STOP &gt;&gt; 561495S | STOP &gt;&gt; 561348S | NPS &gt;&gt; H330A13 | ASHUKI &gt;&gt; 09903104 | IPS Parts &gt;&gt; IBT1413</t>
  </si>
  <si>
    <t>Fitting Position,  &gt;&gt; Front Axle | O, mm &gt;&gt; 231 | Height, mm &gt;&gt; 44 | Bore O, mm &gt;&gt; 61 | Brake Disc Type,  &gt;&gt; Vented | Brake Disc Thickness, mm &gt;&gt; 17 | Min. thickness, mm &gt;&gt; 15 | Num. of holes,  &gt;&gt; 4</t>
  </si>
  <si>
    <t>HONDA &gt;&gt; 45251SB2750 | HONDA &gt;&gt; 45251SB2930 | HONDA &gt;&gt; 45251SB2932 | HONDA &gt;&gt; 45251SB2751 | HONDA &gt;&gt; 45251SB2752 | HONDA &gt;&gt; 45251SB2920 | ROVER &gt;&gt; DPB7954 | ROVER &gt;&gt; GBD443 | ROVER &gt;&gt; GBD90803 | ATE &gt;&gt; 011701011 | PAGID &gt;&gt; 52907 | PAGID &gt;&gt; 51110 | LUCAS ELECTRICAL &gt;&gt; DF1815 | LUCAS ELECTRICAL &gt;&gt; DF1976 | BOSCH &gt;&gt; 0986478203 | TEXTAR &gt;&gt; 92046500 | JURID &gt;&gt; 561499J | JURID &gt;&gt; 561348J | BENDIX &gt;&gt; 561499B | BENDIX &gt;&gt; 561348B | QUINTON HAZELL &gt;&gt; BDC3525 | FERODO &gt;&gt; DDF152 | FERODO &gt;&gt; DDF571 | BREMBO &gt;&gt; 09310220 | BREMBO &gt;&gt; 09310210 | MINTEX &gt;&gt; MDC343 | BORG &amp; BECK &gt;&gt; BBD4007 | ZIMMERMANN &gt;&gt; 280208500 | DELPHI &gt;&gt; BG2451 | MOPROD &gt;&gt; MBD272 | BRADI &gt;&gt; 1191224 | SEBRO &gt;&gt; 3410 | INTERBRAKE &gt;&gt; HO133V | INTERBRAKE &gt;&gt; HO131V | APEC braking &gt;&gt; DSK214 | UNIPART &gt;&gt; GBD443 | UNIPART &gt;&gt; GBD90803</t>
  </si>
  <si>
    <t>O, mm &gt;&gt; 238 | Height, mm &gt;&gt; 48,2 | Brake Disc Type,  &gt;&gt; Solid | Brake Disc Thickness, mm &gt;&gt; 10 | Min. thickness, mm &gt;&gt; 8 | Num. of holes,  &gt;&gt; 4 | Bolt Hole Circle O, mm &gt;&gt; 100 | Hub O, mm &gt;&gt; 164 | Centering Diameter, mm &gt;&gt; 61</t>
  </si>
  <si>
    <t>Fitting Position &gt;&gt; Rear Axle Left | Fitting Position &gt;&gt; Rear Axle Right</t>
  </si>
  <si>
    <t>HONDA &gt;&gt; 42510SR3J00 | HONDA &gt;&gt; 42510SH3000 | HONDA &gt;&gt; 42510SK3E00 | HONDA &gt;&gt; 42510SR3G00 | HONDA &gt;&gt; 42510SK3305 | HONDA &gt;&gt; 42510SE0000 | HONDA &gt;&gt; 42510SE0010 | ATE &gt;&gt; 24010901111 | ATE &gt;&gt; 24011002121 | PAGID &gt;&gt; 51106 | VALEO &gt;&gt; 186435 | BOSCH &gt;&gt; 0986478350 | BOSCH &gt;&gt; 0986479101 | BENDIX &gt;&gt; 561383B | HERTH+BUSS JAKOPARTS &gt;&gt; J3314009 | HERTH+BUSS JAKOPARTS &gt;&gt; J3314019 | HERTH+BUSS JAKOPARTS &gt;&gt; J3314003 | QUINTON HAZELL &gt;&gt; BDC4369 | FERODO &gt;&gt; DDF950 | FERODO &gt;&gt; DDF468 | BREMBO &gt;&gt; 08571910 | BREMBO &gt;&gt; RS8717 | BREMBO &gt;&gt; 08710410 | MINTEX &gt;&gt; MDC644 | DELPHI &gt;&gt; BG2538 | JAPANPARTS &gt;&gt; DP409 | JAPANPARTS &gt;&gt; DP402 | ASHIKA &gt;&gt; 6104409 | ASHIKA &gt;&gt; 6104402 | Brake ENGINEERING &gt;&gt; DI952480 | sbs &gt;&gt; 1815202613 | BLUE PRINT &gt;&gt; ADH24357 | BLUE PRINT &gt;&gt; ADH24350 | BLUE PRINT &gt;&gt; ADH24323 | BLUE PRINT &gt;&gt; ADH24321 | COMLINE &gt;&gt; ADC0518 | COMLINE &gt;&gt; ADC0510 | NPS &gt;&gt; H331A09 | JAPKO &gt;&gt; 61409 | JAPKO &gt;&gt; 61402 | A.B.S. &gt;&gt; 15983</t>
  </si>
  <si>
    <t>HONDA &gt;&gt; 45251SB2782HS | HONDA &gt;&gt; 45251SB2990 | HONDA &gt;&gt; 45251SB2980 | HONDA &gt;&gt; 45251SB2780 | HONDA &gt;&gt; 45251SB2781 | HONDA &gt;&gt; 45251SB2782 | ACURA &gt;&gt; 45251SB2990 | HELLA &gt;&gt; 8DD355103101 | ATE &gt;&gt; 24011901061 | ATE &gt;&gt; 419106 | PAGID &gt;&gt; 51113 | VALEO &gt;&gt; 186431 | BOSCH &gt;&gt; 986478503 | BOSCH &gt;&gt; 0986AB9535 | BOSCH &gt;&gt; 0986AB6320 | BOSCH &gt;&gt; F026A00821 | BOSCH &gt;&gt; 0986AB5221 | BOSCH &gt;&gt; 0986478503 | LEMFORDER &gt;&gt; 2246801 | TEXTAR &gt;&gt; 92060700 | TEXTAR &gt;&gt; 98200060701 | JURID &gt;&gt; 561385J | JURID &gt;&gt; 561384JC | JURID &gt;&gt; 561384J | BENDIX &gt;&gt; 338776 | BENDIX &gt;&gt; 561385B | BENDIX &gt;&gt; 561384B | BENDIX &gt;&gt; 561384BC | FTE &gt;&gt; BS3591 | HERTH+BUSS JAKOPARTS &gt;&gt; J3304019 | QUINTON HAZELL &gt;&gt; BDC3591 | QUINTON HAZELL &gt;&gt; 636910 | QUINTON HAZELL &gt;&gt; BSF3591 | FERODO &gt;&gt; DDF3771 | FERODO &gt;&gt; DDF377 | BREMBO &gt;&gt; 09502310 | MINTEX &gt;&gt; MDC645 | PEX &gt;&gt; 140221 | ZIMMERMANN &gt;&gt; 280208852 | ZIMMERMANN &gt;&gt; 280208850 | ZIMMERMANN &gt;&gt; 280208800 | ZIMMERMANN &gt;&gt; 2802088 | DELPHI &gt;&gt; BS3591 | DELPHI &gt;&gt; BG2399 | DELPHI &gt;&gt; BG399 | METZGER &gt;&gt; 636910 | MAGNETI MARELLI &gt;&gt; 353611913240 | ROULUNDS RUBBER &gt;&gt; D2195 | TRISCAN &gt;&gt; 812040103 | METELLI &gt;&gt; 230306 | NK &gt;&gt; 312612 | NK &gt;&gt; 202612 | MAPCO &gt;&gt; 15610 | MEYLE &gt;&gt; 31155210011PD | ROADHOUSE &gt;&gt; 636910 | REMSA &gt;&gt; 636910 | JAPANPARTS &gt;&gt; DI419 | QH Benelux &gt;&gt; 53480 | NATIONAL &gt;&gt; NBD170 | A.B.S. &gt;&gt; 15938 | LPR &gt;&gt; H1141V | GRAF &gt;&gt; DF29306 | TRW &gt;&gt; DF1963 | BRADI &gt;&gt; 1191324 | OBTEC A/S &gt;&gt; 181808V | SEBRO &gt;&gt; 3453 | FAG &gt;&gt; BS3591 | ACDelco &gt;&gt; AC2195D | DBA &gt;&gt; DBA187 | CAR &gt;&gt; 142916 | CAR &gt;&gt; HPD916 | NIPPARTS &gt;&gt; J3304019 | MGA &gt;&gt; D1106 | Brake ENGINEERING &gt;&gt; DI952450 | APEC braking &gt;&gt; DSK190 | ABEX &gt;&gt; W0664 | PILENGA &gt;&gt; V305 | WOKING &gt;&gt; P636910 | BLUE PRINT &gt;&gt; ADH24316 | FIRST LINE &gt;&gt; FBD048</t>
  </si>
  <si>
    <t>O, mm &gt;&gt; 238 | Brake Disc Thickness, mm &gt;&gt; 10 | Thickness/Strength, mm &gt;&gt; 48 | Height, mm &gt;&gt; 48,2 | Outer Diameter, mm &gt;&gt; 239 | Brake Disc Type,  &gt;&gt; Solid | Fitting Position,  &gt;&gt; Rear Axle | Min. thickness, mm &gt;&gt; 8 | Num. of holes,  &gt;&gt; 4 | Bolt Hole Circle O, mm &gt;&gt; 100 | Hub O, mm &gt;&gt; 61 | Weight, kg &gt;&gt; 3,490 | Quantity required,  &gt;&gt; 1 | Centering Diameter, mm &gt;&gt; 61</t>
  </si>
  <si>
    <t>Fitting Position &gt;&gt; Rear Axle Right | Fitting Position &gt;&gt; Rear Axle Left</t>
  </si>
  <si>
    <t>HONDA &gt;&gt; 08571910BREMBO | HONDA &gt;&gt; 0986478350BOSCH | HONDA &gt;&gt; 08710410BREMBO | HONDA &gt;&gt; 0986479101BOSCH | HONDA &gt;&gt; 92077900TEXTAR | HONDA &gt;&gt; 92060800TEXTAR | HONDA &gt;&gt; 6104402ASHIKA | HONDA &gt;&gt; 6104409ASHIKA | HONDA &gt;&gt; J3314003HBJAKOPA | HONDA &gt;&gt; J3314009HBJAKOPA | HONDA &gt;&gt; 42510SE0000 | HONDA &gt;&gt; DDF468FERODOBERAL | HONDA &gt;&gt; DF2657TRW | HONDA &gt;&gt; DP402JAPANPARTS | HONDA &gt;&gt; DP409JAPANPARTS | HONDA &gt;&gt; DF4004TRW | HONDA &gt;&gt; 186435VALEO | HONDA &gt;&gt; DDF950FERODOBERAL | HONDA &gt;&gt; DF2646TRW | HONDA &gt;&gt; 42510SE0000010 | HONDA &gt;&gt; 42510SK3305 | HONDA &gt;&gt; 16192ABS | HONDA &gt;&gt; 42510SK3E00 | HONDA &gt;&gt; 15983ABS | HONDA &gt;&gt; 42510SR3J00 | HONDA &gt;&gt; 42510SR3G00 | HONDA &gt;&gt; BR2211KBP | HONDA &gt;&gt; 42510SE0010 | HONDA &gt;&gt; 42510SH3000 | HONDA &gt;&gt; 42510SH3G00 | HONDA &gt;&gt; BG2538DELPHI | HELLA &gt;&gt; 8DD355104951 | HELLA &gt;&gt; 8DD355103111 | ATE &gt;&gt; 24011002121 | ATE &gt;&gt; 24010901111 | PAGID &gt;&gt; 51106 | PAGID &gt;&gt; 51122 | VALEO &gt;&gt; 186432 | VALEO &gt;&gt; 186435 | RUVILLE &gt;&gt; BRR510210 | BOSCH &gt;&gt; 0986479101 | BOSCH &gt;&gt; F026A01067 | BOSCH &gt;&gt; F026A00896 | BOSCH &gt;&gt; 0986478350 | BOSCH &gt;&gt; 0986AB9842 | BOSCH &gt;&gt; 0986AB9725 | BOSCH &gt;&gt; 0986479942 | BOSCH &gt;&gt; 0986479860 | LEMFORDER &gt;&gt; 1490602 | LEMFORDER &gt;&gt; 14906 | TEXTAR &gt;&gt; 92077900 | TEXTAR &gt;&gt; 92060800 | JURID &gt;&gt; 562016JC | JURID &gt;&gt; 562016J | JURID &gt;&gt; 561383J | JURID &gt;&gt; 561383JC | BENDIX &gt;&gt; 562016BC | BENDIX &gt;&gt; 562016B | BENDIX &gt;&gt; 561383BC | BENDIX &gt;&gt; 561383B | FTE &gt;&gt; BS4746 | FTE &gt;&gt; BS4369 | HERTH+BUSS JAKOPARTS &gt;&gt; J3314019 | HERTH+BUSS JAKOPARTS &gt;&gt; J3314009 | HERTH+BUSS JAKOPARTS &gt;&gt; J3314003 | QUINTON HAZELL &gt;&gt; BSF4746 | QUINTON HAZELL &gt;&gt; BSF4369 | QUINTON HAZELL &gt;&gt; BSF3649 | QUINTON HAZELL &gt;&gt; BDC4746 | QUINTON HAZELL &gt;&gt; BDC4369 | QUINTON HAZELL &gt;&gt; BDC3649 | FERODO &gt;&gt; DDF9501 | FERODO &gt;&gt; DDF950 | FERODO &gt;&gt; DDF4681 | FERODO &gt;&gt; DDF468 | BREMBO &gt;&gt; RS8717 | BREMBO &gt;&gt; 08571910 | BREMBO &gt;&gt; 08710410 | BREMBO &gt;&gt; 08710475 | BREMBO &gt;&gt; 08564810 | BREMBO &gt;&gt; 08710414 | MINTEX &gt;&gt; MDC846 | MINTEX &gt;&gt; MDK0073 | MINTEX &gt;&gt; MDC644 | PEX &gt;&gt; 140223 | PEX &gt;&gt; 140222 | BORG &amp; BECK &gt;&gt; BBD4933 | BORG &amp; BECK &gt;&gt; BBD4093 | ZIMMERMANN &gt;&gt; 280317000 | DELPHI &gt;&gt; BG2538 | FARCOM &gt;&gt; 230785 | METZGER &gt;&gt; 652100 | METZGER &gt;&gt; 608300 | MAGNETI MARELLI &gt;&gt; 431602041870 | MAGNETI MARELLI &gt;&gt; 353611915540 | ROULUNDS RUBBER &gt;&gt; WD00105 | ROULUNDS RUBBER &gt;&gt; WD00335 | ROULUNDS RUBBER &gt;&gt; D2196 | TRISCAN &gt;&gt; 812040146 | TRISCAN &gt;&gt; 812040114 | TRISCAN &gt;&gt; 812040117 | METELLI &gt;&gt; 231049C | METELLI &gt;&gt; 230267 | NK &gt;&gt; 312621 | NK &gt;&gt; 312613 | NK &gt;&gt; 202621 | NK &gt;&gt; 202613 | OPTIMAL &gt;&gt; BS5210 | OPTIMAL &gt;&gt; BS0830 | MAPCO &gt;&gt; 47537 | MAPCO &gt;&gt; 15608 | MAPCO &gt;&gt; 156042 | MAPCO &gt;&gt; 15604 | MEYLE &gt;&gt; 31155230006PD | MEYLE &gt;&gt; 31155230006 | MEYLE &gt;&gt; 31155230001PD | MEYLE &gt;&gt; 31155230001 | KBP &gt;&gt; BR2219 | KBP &gt;&gt; BR2211 | ROADHOUSE &gt;&gt; 652100 | ROADHOUSE &gt;&gt; 608300 | REMSA &gt;&gt; 652100 | REMSA &gt;&gt; 608300 | REMSA &gt;&gt; BDM620510 | JAPANPARTS &gt;&gt; DP409 | JAPANPARTS &gt;&gt; DP402 | QH Benelux &gt;&gt; HP57352 | QH Benelux &gt;&gt; 57352 | QH Benelux &gt;&gt; 53481 | VEMO &gt;&gt; V2640001 | VEMO &gt;&gt; V2640003 | DENCKERMANN &gt;&gt; B130108 | NATIONAL &gt;&gt; NBD704 | NATIONAL &gt;&gt; NBD377 | NATIONAL &gt;&gt; NBD1507 | A.B.S. &gt;&gt; 15983 | LPR &gt;&gt; H1471P | LPR &gt;&gt; H1171P | TRUSTING &gt;&gt; DF113 | TRUSTING &gt;&gt; DF104 | TRUSTING &gt;&gt; DF051 | KAVO PARTS &gt;&gt; BR2211 | TRUCKTEC AUTOMOTIVE &gt;&gt; 1035025 | TRUCKTEC AUTOMOTIVE &gt;&gt; 1035023 | TRUCKTEC AUTOMOTIVE &gt;&gt; 1035015 | UNIPART &gt;&gt; GBD817 | GRAF &gt;&gt; DF29267 | KWP &gt;&gt; 129267 | TRW &gt;&gt; DF4191 | TRW &gt;&gt; DF4004 | TRW &gt;&gt; DF2657 | TRW &gt;&gt; DF2646 | BRECO &gt;&gt; BS7547 | ACDelco &gt;&gt; AC2196D | ASHIKA &gt;&gt; 6104409 | ASHIKA &gt;&gt; 6104402 | CAR &gt;&gt; 142308 | CAR &gt;&gt; HPD308 | NIPPARTS &gt;&gt; J3314019 | NIPPARTS &gt;&gt; J3314003 | Brake ENGINEERING &gt;&gt; DI955373 | Brake ENGINEERING &gt;&gt; DI952480 | APEC braking &gt;&gt; DSK257 | APEC braking &gt;&gt; DSK252 | FREMAX &gt;&gt; BD0817 | JP GROUP &gt;&gt; 3463200309 | JP GROUP &gt;&gt; 3463200209 | GIRLING &gt;&gt; 6041914 | GIRLING &gt;&gt; 6026574 | GIRLING &gt;&gt; 6026464 | AP &gt;&gt; 14683E | AP &gt;&gt; 14683 | AP &gt;&gt; X14683 | KAWE &gt;&gt; 652100 | KAWE &gt;&gt; 608300 | KAWE &gt;&gt; 37580 | KAWE &gt;&gt; 37468 | PILENGA &gt;&gt; 5304 | fri.tech. &gt;&gt; DF104 | fri.tech. &gt;&gt; DF051 | sbs &gt;&gt; 202621 | sbs &gt;&gt; 202613 | sbs &gt;&gt; 1815202613 | E.T.F. &gt;&gt; 190817 | CIFAM &gt;&gt; 800267 | WOKING &gt;&gt; D652100 | WOKING &gt;&gt; D608300 | BLUE PRINT &gt;&gt; ADH24323 | BLUE PRINT &gt;&gt; ADH24321 | BLUE PRINT &gt;&gt; ADH24357 | BLUE PRINT &gt;&gt; ADH24350 | OPEN PARTS &gt;&gt; BDR120510 | OPEN PARTS &gt;&gt; BDA120510 | SOLID AUTO (UK) &gt;&gt; H106027 | FIRST LINE &gt;&gt; FBD411 | FIRST LINE &gt;&gt; FBD1043 | COMLINE &gt;&gt; ADC0518 | COMLINE &gt;&gt; ADC0510 | STOP &gt;&gt; 561383S | NPS &gt;&gt; H331A09 | NPS &gt;&gt; H331A02 | NPS &gt;&gt; H330A35 | ASHUKI &gt;&gt; 09933004 | IPS Parts &gt;&gt; IBP1499 | IPS Parts &gt;&gt; IBP1409 | VEMA &gt;&gt; 98290 | VEMA &gt;&gt; 98115 | JAPKO &gt;&gt; 61409 | JAPKO &gt;&gt; 61402 | ABE &gt;&gt; C44003ABE | QH Talbros &gt;&gt; BSF4369 | QH Talbros &gt;&gt; BSF3649 | QH Talbros &gt;&gt; BDC4369 | QH Talbros &gt;&gt; BDC3649</t>
  </si>
  <si>
    <t>O, mm &gt;&gt; 231 | Brake Disc Type,  &gt;&gt; Vented | Min. thickness, mm &gt;&gt; 15 | Hole Pitch / Number,  &gt;&gt; 4H | Centering Diameter, mm &gt;&gt; 61,1 | Overall Height, mm &gt;&gt; 44,3 | for brake disc thickness, mm &gt;&gt; 17</t>
  </si>
  <si>
    <t>Fitting Position &gt;&gt; Front Axle | Country Version &gt;&gt; Europe | Country Version &gt;&gt; USA</t>
  </si>
  <si>
    <t>HONDA &gt;&gt; 45251SB2930 | HONDA &gt;&gt; 45251SA2751 | HONDA &gt;&gt; 45251SB2750 | HONDA &gt;&gt; 45251SB2752 | HONDA &gt;&gt; 45251SB2920 | HONDA &gt;&gt; 45251SB2751 | HONDA &gt;&gt; 45251SB2931 | HONDA &gt;&gt; 45251SB2932 | HONDA &gt;&gt; 45251SB2940 | HONDA &gt;&gt; 45251SB2932HS | ROVER &gt;&gt; GBD90803 | ROVER &gt;&gt; XAP88 | ROVER &gt;&gt; GBD90814 | ROVER &gt;&gt; GBD90825 | ROVER &gt;&gt; DPB7594 | ROVER &gt;&gt; GBD443 | ROVER &gt;&gt; DBP7954 | ATE &gt;&gt; 417101 | ATE &gt;&gt; 24011701011 | BOSCH &gt;&gt; 0986AB9840 | BOSCH &gt;&gt; 0986479841 | BOSCH &gt;&gt; BD163 | BOSCH &gt;&gt; 0986AB9534 | BOSCH &gt;&gt; 986478203 | BOSCH &gt;&gt; 0986AB6319 | BOSCH &gt;&gt; 0986478203 | BOSCH &gt;&gt; 0986AB5209 | TEXTAR &gt;&gt; 982000465 | TEXTAR &gt;&gt; 98200046501 | TEXTAR &gt;&gt; 92046500 | JURID &gt;&gt; 8290302 | JURID &gt;&gt; 561495J | JURID &gt;&gt; 561348JC | JURID &gt;&gt; 561348J | BENDIX &gt;&gt; 345066 | BENDIX &gt;&gt; 561499B | BENDIX &gt;&gt; 561495B | BENDIX &gt;&gt; 561348BC | BENDIX &gt;&gt; 561348B | QUINTON HAZELL &gt;&gt; BDC3525 | FERODO &gt;&gt; DDF1521 | FERODO &gt;&gt; DDF5711 | FERODO &gt;&gt; DDF571 | FERODO &gt;&gt; DDF152 | BREMBO &gt;&gt; 09310220 | BREMBO &gt;&gt; 09310210 | MINTEX &gt;&gt; MDC343 | ZIMMERMANN &gt;&gt; 280208500 | DELPHI &gt;&gt; BG451 | DELPHI &gt;&gt; BG280 | DELPHI &gt;&gt; BG2451 | TRISCAN &gt;&gt; 812040122 | TRISCAN &gt;&gt; 812040102 | NK &gt;&gt; 312605 | NK &gt;&gt; 204008 | NK &gt;&gt; 202605 | OPTIMAL &gt;&gt; BS3680 | NATIONAL &gt;&gt; NBD059 | LPR &gt;&gt; H1131V | TRW &gt;&gt; DF1976 | TRW &gt;&gt; DF1815 | NIPPARTS &gt;&gt; J3304013 | Brake ENGINEERING &gt;&gt; DI955261 | Brake ENGINEERING &gt;&gt; DI951380 | APEC braking &gt;&gt; DSK214 | sbs &gt;&gt; 3815202605 | sbs &gt;&gt; 1815202605 | BLUE PRINT &gt;&gt; ADH24309 | SOLID AUTO (UK) &gt;&gt; H106005 | COMLINE &gt;&gt; ADC0502V | MOTAQUIP &gt;&gt; VBD363 | UNIPART &gt;&gt; GBD506 | UNIPART &gt;&gt; GBD443</t>
  </si>
  <si>
    <t>Fitting Position,  &gt;&gt; Front Axle | Brake Disc Type,  &gt;&gt; Vented | O, mm &gt;&gt; 231 | Min. thickness, mm &gt;&gt; 15 | Brake System,  &gt;&gt; Akebono | Bolt Hole Circle O, mm &gt;&gt; 100 | Inner Diameter, mm &gt;&gt; 124 | Height, mm &gt;&gt; 44 | Brake Disc Thickness, mm &gt;&gt; 17 | Num. of holes,  &gt;&gt; 4 | Centering Diameter, mm &gt;&gt; 61 | MAPP code available,  &gt;&gt;  | Bore O, mm &gt;&gt; 12,6</t>
  </si>
  <si>
    <t>Equipment Variant &gt;&gt; fur USA/Europa | to construction year &gt;&gt; 04/1986</t>
  </si>
  <si>
    <t>HONDA &gt;&gt; 45251SB2750 | HONDA &gt;&gt; 45251SB2752 | HONDA &gt;&gt; 45251SB2940 | HONDA &gt;&gt; 45251SB2932 | HONDA &gt;&gt; 45251SB2751 | HONDA &gt;&gt; 45251SB2931 | HONDA &gt;&gt; 45251SB2930 | ROVER &gt;&gt; GBD90825 | ROVER &gt;&gt; GBD90814 | ROVER &gt;&gt; GBD90803 | ROVER &gt;&gt; DBP7954</t>
  </si>
  <si>
    <t>Gasket, exhaust pipe</t>
  </si>
  <si>
    <t>HONDA &gt;&gt; 18212671003 | HONDA &gt;&gt; 18212SA0003 | REINZ &gt;&gt; 715228100 | GLASER &gt;&gt; X8231801 | BGA &gt;&gt; SP6371</t>
  </si>
  <si>
    <t>Exhaust System</t>
  </si>
  <si>
    <t>Exhaust Pipe</t>
  </si>
  <si>
    <t>Quantity required,  &gt;&gt; 2</t>
  </si>
  <si>
    <t>HONDA &gt;&gt; 18212SB2960 | HONDA &gt;&gt; 18212SB2961 | REINZ &gt;&gt; 715230300 | ELRING &gt;&gt; 751332 | GLASER &gt;&gt; X8231901 | CORTECO &gt;&gt; 027406H | BGA &gt;&gt; SP6378</t>
  </si>
  <si>
    <t>Gasket Set, crank case</t>
  </si>
  <si>
    <t xml:space="preserve"> &gt;&gt; with crankshaft seal</t>
  </si>
  <si>
    <t>HONDA &gt;&gt; 06111P08000 | HONDA &gt;&gt; 061B1PM3000 | HONDA &gt;&gt; 061B1PM8A01 | HONDA &gt;&gt; 061B1PM8A00 | HONDA &gt;&gt; LVQ10028 | HONDA &gt;&gt; 06111PM3000 | HONDA &gt;&gt; 061B1PM3S01 | HONDA &gt;&gt; 061B1PM3020 | REINZ &gt;&gt; 085238301 | ELRING &gt;&gt; 920312 | PAYEN &gt;&gt; ER540 | AJUSA &gt;&gt; 54060100 | FAI AutoParts &gt;&gt; CS914</t>
  </si>
  <si>
    <t>Crankcase</t>
  </si>
  <si>
    <t>HONDA &gt;&gt; 44018SR3000 | HONDA &gt;&gt; G03722530 | HONDA &gt;&gt; G56822530 | HONDA &gt;&gt; G56022530 | HONDA &gt;&gt; 44333SF1961 | HONDA &gt;&gt; 44333SB2961 | HONDA &gt;&gt; 44333SD9003 | HONDA &gt;&gt; 44323SB0310 | HONDA &gt;&gt; 44323SB2981 | HONDA &gt;&gt; 44018SR3G01 | HONDA &gt;&gt; 44315SM4003 | HONDA &gt;&gt; 757403RUVILLE | HONDA &gt;&gt; 44018SR3950 | HONDA &gt;&gt; 44018SR3951 | HONDA &gt;&gt; 44018SR3900 | HONDA &gt;&gt; 44018SR3901 | HONDA &gt;&gt; J2864002HBJAKOPA | MITSUBISHI &gt;&gt; MB620062 | MITSUBISHI &gt;&gt; MB526907 | MITSUBISHI &gt;&gt; MB620060 | MITSUBISHI &gt;&gt; MB620061 | MITSUBISHI &gt;&gt; MB620056 | MITSUBISHI &gt;&gt; MB526776 | MITSUBISHI &gt;&gt; MB526905 | MITSUBISHI &gt;&gt; MB297689 | MITSUBISHI &gt;&gt; MB297536 | MITSUBISHI &gt;&gt; MB297380 | MITSUBISHI &gt;&gt; MB297381 | RUVILLE &gt;&gt; 757403 | LEMFORDER &gt;&gt; 2008001 | LEMFORDER &gt;&gt; 1541901 | HERTH+BUSS JAKOPARTS &gt;&gt; J2865003 | HERTH+BUSS JAKOPARTS &gt;&gt; J2884009 | HERTH+BUSS JAKOPARTS &gt;&gt; J2885003 | HERTH+BUSS JAKOPARTS &gt;&gt; J2874000 | HERTH+BUSS JAKOPARTS &gt;&gt; J2864003 | HERTH+BUSS JAKOPARTS &gt;&gt; J2864007 | HERTH+BUSS JAKOPARTS &gt;&gt; J2863004 | HERTH+BUSS JAKOPARTS &gt;&gt; J2864002 | QUINTON HAZELL &gt;&gt; QJB515 | PEX &gt;&gt; 8097 | TRISCAN &gt;&gt; 854040802 | METELLI &gt;&gt; 130049 | METELLI &gt;&gt; 130042 | OPTIMAL &gt;&gt; MK811140 | JAPANPARTS &gt;&gt; KB040 | JAPANPARTS &gt;&gt; KB034 | JAPANPARTS &gt;&gt; KB036 | JAPANPARTS &gt;&gt; KB008 | JAPANPARTS &gt;&gt; KB018 | ASHIKA &gt;&gt; 6300018 | ASHIKA &gt;&gt; 6300008 | ASHIKA &gt;&gt; 6302279 | ASHIKA &gt;&gt; 6300045 | ASHIKA &gt;&gt; 6300040 | ASHIKA &gt;&gt; 6300036 | NIPPARTS &gt;&gt; J2864002 | NIPPARTS &gt;&gt; J2863004 | NIPPARTS &gt;&gt; J2862001 | SASIC &gt;&gt; 9004642 | IPD &gt;&gt; 352602 | IPD &gt;&gt; 352598 | AUTEX &gt;&gt; 503607 | AUTEX &gt;&gt; 503603 | BLUE PRINT &gt;&gt; ADS78105 | BLUE PRINT &gt;&gt; ADH28160 | BLUE PRINT &gt;&gt; ADH28155 | BLUE PRINT &gt;&gt; ADH28112 | BLUE PRINT &gt;&gt; ADH28105 | BLUE PRINT &gt;&gt; ADH28109 | BLUE PRINT &gt;&gt; ADC48154 | BLUE PRINT &gt;&gt; ADC48103 | FAI &gt;&gt; BK51227 | GOMET &gt;&gt; 331955 | SOLID AUTO (UK) &gt;&gt; H116003 | FIRST LINE &gt;&gt; FCB2187 | NPS &gt;&gt; H282A60 | NPS &gt;&gt; H282A55 | NPS &gt;&gt; H282A07 | NPS &gt;&gt; M282A58 | IPS Parts &gt;&gt; IBK10018 | JAPKO &gt;&gt; 63018 | QH Talbros &gt;&gt; QJB515 | QH Talbros &gt;&gt; QJB131</t>
  </si>
  <si>
    <t>HONDA &gt;&gt; 46100SD2A01 | HONDA &gt;&gt; 46100SE0904 | HONDA &gt;&gt; 46100SE0903 | ACURA &gt;&gt; 46100SE0903 | BENDIX &gt;&gt; 132937B | DELPHI &gt;&gt; LM60607 | METELLI &gt;&gt; 050212 | UNIPART &gt;&gt; GMC462 | TRW &gt;&gt; PMH327 | TRW &gt;&gt; PMH950 | EIS &gt;&gt; E150143 | WAGNER LOCKHEED &gt;&gt; F116455 | Brake ENGINEERING &gt;&gt; MC1348BE | CIFAM &gt;&gt; 202212 | VILLAR &gt;&gt; 6212925</t>
  </si>
  <si>
    <t>Clutch Pressure Plate</t>
  </si>
  <si>
    <t>O, mm &gt;&gt; 200 | Techn. Info. No.,  &gt;&gt; TBFP</t>
  </si>
  <si>
    <t>HONDA &gt;&gt; 22300PC1030 | HONDA &gt;&gt; 22300PC1020 | HONDA &gt;&gt; 22300PC6010 | HONDA &gt;&gt; 22300PD2030 | HONDA &gt;&gt; 22300PC6000 | HONDA &gt;&gt; 22300PD2020 | HONDA &gt;&gt; 22300PD2010 | HONDA &gt;&gt; 22300PC6020 | HONDA &gt;&gt; 22300PC2020 | HONDA &gt;&gt; 22300PD2000 | HONDA &gt;&gt; 22300PC6030 | SACHS &gt;&gt; 3082930001 | HERTH+BUSS JAKOPARTS &gt;&gt; J2104009 | HERTH+BUSS JAKOPARTS &gt;&gt; J2104008 | BORG &amp; BECK &gt;&gt; HE5243 | BORG &amp; BECK &gt;&gt; HE05243 | BORG &amp; BECK &gt;&gt; D02571 | BORG &amp; BECK &gt;&gt; D02572 | TRIPLE FIVE &gt;&gt; NDS180 | TRIPLE FIVE &gt;&gt; LCF615 | TRIPLE FIVE &gt;&gt; 22300PC6030 | TRIPLE FIVE &gt;&gt; 1020V1504 | TRIPLE FIVE &gt;&gt; 1020V1514 | AISIN &gt;&gt; PRDC | AISIN &gt;&gt; CH008 | DAIKIN &gt;&gt; HCC508 | BLUE PRINT &gt;&gt; ADH23208N</t>
  </si>
  <si>
    <t>Pressure Plate</t>
  </si>
  <si>
    <t>Clutch Disc</t>
  </si>
  <si>
    <t>O, mm &gt;&gt; 200 | Hub Profile,  &gt;&gt; 19,8X21,8 | Teeth Quant.,  &gt;&gt; 21 | Techn. Info. No.,  &gt;&gt; TSFN</t>
  </si>
  <si>
    <t>HONDA &gt;&gt; 22200689010 | HONDA &gt;&gt; 22200689000 | HONDA &gt;&gt; 22200PB2000 | HONDA &gt;&gt; 22200PH1G00 | HONDA &gt;&gt; 22200PG7J00 | HONDA &gt;&gt; 22200PB1000 | HONDA &gt;&gt; 22200PG7003 | HONDA &gt;&gt; 22200PM7C01 | HONDA &gt;&gt; 22200PC6030 | HONDA &gt;&gt; 22200PM7C00 | HONDA &gt;&gt; 22200PM7B01 | HONDA &gt;&gt; 22200PC2000 | HONDA &gt;&gt; 22200689020 | HONDA &gt;&gt; 22200PC6020 | HONDA &gt;&gt; 22200PM7B00 | HONDA &gt;&gt; 22200PM7010 | HONDA &gt;&gt; 22200PC6010 | HONDA &gt;&gt; 22200PM7000 | HONDA &gt;&gt; 22200PM5010 | HONDA &gt;&gt; 22200PH5000 | HONDA &gt;&gt; 22200PC2010 | HONDA &gt;&gt; 22200PM5000 | HONDA &gt;&gt; 22200PH5305 | VALEO &gt;&gt; 352392 | SACHS &gt;&gt; 1861951001 | HERTH+BUSS JAKOPARTS &gt;&gt; J2204014 | HERTH+BUSS JAKOPARTS &gt;&gt; J2204006 | HERTH+BUSS JAKOPARTS &gt;&gt; J2204000 | HERTH+BUSS JAKOPARTS &gt;&gt; J2204003 | BORG &amp; BECK &gt;&gt; K02577 | BORG &amp; BECK &gt;&gt; 07H47030JB | BORG &amp; BECK &gt;&gt; HB8043 | TRIPLE FIVE &gt;&gt; 3020VLP03D | TRIPLE FIVE &gt;&gt; 3020VLP03 | TRIPLE FIVE &gt;&gt; NW8951AF | TRIPLE FIVE &gt;&gt; LDF598 | TRIPLE FIVE &gt;&gt; 22200PH5305 | AISIN &gt;&gt; ACD2 | AISIN &gt;&gt; DH008 | DAIKIN &gt;&gt; SC340 | DAIKIN &gt;&gt; HCD011U | DAIKIN &gt;&gt; HCD011 | BLUE PRINT &gt;&gt; ADH23106</t>
  </si>
  <si>
    <t>STATIM</t>
  </si>
  <si>
    <t>O, mm &gt;&gt; 200 | Hub Profile,  &gt;&gt; 20x22 - 21N</t>
  </si>
  <si>
    <t>HONDA &gt;&gt; 22200689000 | HONDA &gt;&gt; 22105PG7515 | HONDA &gt;&gt; 22200PG7003 | LuK &gt;&gt; 320013710 | SACHS &gt;&gt; 1861951001</t>
  </si>
  <si>
    <t>Equipment Variant &gt;&gt; TYPE UB | Fitting Position &gt;&gt; Passenger Side | Fitting Position &gt;&gt; Driver side</t>
  </si>
  <si>
    <t xml:space="preserve"> &gt;&gt; EPDM (ethylene propylene diene Monomer (M-class) rubber)</t>
  </si>
  <si>
    <t>HONDA &gt;&gt; 31110PG60040 | HONDA &gt;&gt; 31110PG60030 | HONDA &gt;&gt; 31110PG76610 | HONDA &gt;&gt; 31110PG7661 | HONDA &gt;&gt; 31110PJ70130 | HONDA &gt;&gt; 31110PG6030 | HONDA &gt;&gt; 31110PJ7505 | HONDA &gt;&gt; 31110PJ70140 | RENAULT &gt;&gt; 7700850113 | DACIA &gt;&gt; 6001543512 | BOSCH &gt;&gt; 1987947844 | CONTITECH &gt;&gt; 3PK715 | DAYCO &gt;&gt; 3PK715 | SKF &gt;&gt; VKMV3PK712 | QUINTON HAZELL &gt;&gt; QBR3713 | OPTIBELT &gt;&gt; 3PK715 | ROULUNDS RUBBER &gt;&gt; 3K0715 | FEBI BILSTEIN &gt;&gt; 28744 | TRISCAN &gt;&gt; 8640300715 | SNR &gt;&gt; 3PK715 | JAPANPARTS &gt;&gt; JTV713 | JAPANPARTS &gt;&gt; DV3PK0715 | JAPANPARTS &gt;&gt; TV713 | VEYANCE &gt;&gt; 3PK0712G | HUTCHINSON &gt;&gt; 715K3 | HUTCHINSON &gt;&gt; 712K3 | HUTCHINSON &gt;&gt; 710K3 | SWAG &gt;&gt; 60928744 | BREDA  LORETT &gt;&gt; CA0001 | FLENNOR &gt;&gt; 3PK0715 | FLENNOR &gt;&gt; 3PK715 | BANDO &gt;&gt; 3PK715 | NIPPARTS &gt;&gt; J1030715</t>
  </si>
  <si>
    <t>OPTIBELT</t>
  </si>
  <si>
    <t>Length, mm &gt;&gt; 715 | Number of Ribs,  &gt;&gt; 3</t>
  </si>
  <si>
    <t>from construction year &gt;&gt; 10/1985 | Driven Units &gt;&gt; Driven unit: alternator</t>
  </si>
  <si>
    <t>HONDA &gt;&gt; 31110PG60030 | HONDA &gt;&gt; 31110PG60040 | HONDA &gt;&gt; 31110PJ70130 | HONDA &gt;&gt; 31110PG76610 | HONDA &gt;&gt; 31110PG6030 | HONDA &gt;&gt; 31110PG7661 | HONDA &gt;&gt; 31110PJ70140 | HONDA &gt;&gt; 31110PJ7505 | RENAULT &gt;&gt; 7700850113 | DACIA &gt;&gt; 6001543512 | BOSCH &gt;&gt; 1987947844 | CONTITECH &gt;&gt; 3PK715 | GATES &gt;&gt; 3PK715 | DAYCO &gt;&gt; 3PK715 | SKF &gt;&gt; VKMV3PK712 | QUINTON HAZELL &gt;&gt; QBR3713 | OPTIMAL &gt;&gt; QBR3713 | VEYANCE &gt;&gt; 3PK0713 | VEYANCE &gt;&gt; 3PK0712G</t>
  </si>
  <si>
    <t>HONDA &gt;&gt; 31110PG60030 | HONDA &gt;&gt; 31110PG76610 | HONDA &gt;&gt; 31110PJ70140 | HONDA &gt;&gt; 31110PJ7505 | HONDA &gt;&gt; 31110PJ70130 | HONDA &gt;&gt; 31110PG60040 | HONDA &gt;&gt; 31110PG6030 | HONDA &gt;&gt; 31110PG7661 | RENAULT &gt;&gt; 7700850113 | DACIA &gt;&gt; 6001543512 | BOSCH &gt;&gt; 1987947844 | CONTITECH &gt;&gt; 3PK715 | GATES &gt;&gt; 3PK715 | DAYCO &gt;&gt; 3PK715 | SKF &gt;&gt; VKMV3PK712 | QUINTON HAZELL &gt;&gt; QBR3713 | OPTIBELT &gt;&gt; 3PK715 | ROULUNDS RUBBER &gt;&gt; 3K0715 | FEBI BILSTEIN &gt;&gt; 28744 | TRISCAN &gt;&gt; 14013PK715 | TRISCAN &gt;&gt; 053PK715 | TRISCAN &gt;&gt; 3PK0715 | TRISCAN &gt;&gt; 163K0715 | TRISCAN &gt;&gt; 863PK715 | SNR &gt;&gt; 3PK715 | MEYLE &gt;&gt; 0500030715 | JAPANPARTS &gt;&gt; TV713 | JAPANPARTS &gt;&gt; JTV713 | VEYANCE &gt;&gt; 3PK0712G | HUTCHINSON &gt;&gt; 715K3 | HUTCHINSON &gt;&gt; 712K3 | HUTCHINSON &gt;&gt; 710K3 | BREDA  LORETT &gt;&gt; CA0001 | FLENNOR &gt;&gt; 3PK715 | FLENNOR &gt;&gt; 3PK0715</t>
  </si>
  <si>
    <t>Length, mm &gt;&gt; 715</t>
  </si>
  <si>
    <t>NISSAN &gt;&gt; 3PK0715</t>
  </si>
  <si>
    <t>HONDA &gt;&gt; 31110PG6003 | HONDA &gt;&gt; 31110PG6B003 | HONDA &gt;&gt; 31110PG6004 | HONDA &gt;&gt; 31110PG76610 | HONDA &gt;&gt; 31110PG7661 | RENAULT &gt;&gt; 7700850113 | RENAULT &gt;&gt; 7700749528 | CONTITECH &gt;&gt; 3PK715 | GATES &gt;&gt; 3PK715 | DAYCO &gt;&gt; 3PK715</t>
  </si>
  <si>
    <t>Teeth Quant.,  &gt;&gt; 129 |  &gt;&gt; with rounded tooth profile | Tooth Pitch, mm &gt;&gt; 9,5 | Length, mm &gt;&gt; 1229 | Width, mm &gt;&gt; 24</t>
  </si>
  <si>
    <t>HONDA &gt;&gt; 06141PG6305 | HONDA &gt;&gt; 14400PG6014 | HONDA &gt;&gt; 14400PG6004 | GATES &gt;&gt; 5170XS | HERTH+BUSS JAKOPARTS &gt;&gt; J1124008 | JAPANPARTS &gt;&gt; DD408 | KAVO PARTS &gt;&gt; DTB2022 | ASHIKA &gt;&gt; 4004408 | BLUE PRINT &gt;&gt; ADH27509 | NPS &gt;&gt; H112A08 | JAPKO &gt;&gt; 40408</t>
  </si>
  <si>
    <t>Width, mm &gt;&gt; 24 | Teeth Quant.,  &gt;&gt; 129 |  &gt;&gt; with rounded tooth profile | Weight, kg &gt;&gt; 0,210 | Tooth Pitch, mm &gt;&gt; 9,5 | Length, mm &gt;&gt; 1229 | Quantity required,  &gt;&gt; 1</t>
  </si>
  <si>
    <t>HONDA &gt;&gt; 06141PG6305 | HONDA &gt;&gt; 14400PG6014 | HONDA &gt;&gt; 14400PG60040 | HONDA &gt;&gt; CT722CONTECH | HONDA &gt;&gt; 14400PG60140 | HONDA &gt;&gt; 14400PG6004 | HONDA &gt;&gt; 5170XSGATES | HONDA &gt;&gt; J1124008HBJAKOPA | HONDA &gt;&gt; J1124008HBJAKOPAR | BOSCH &gt;&gt; 1987AE1139 | CONTITECH &gt;&gt; CT722 | GATES &gt;&gt; 5170XS | LEMFORDER &gt;&gt; 1862901 | DAYCO &gt;&gt; 94137 | HERTH+BUSS JAKOPARTS &gt;&gt; J1124008 | QUINTON HAZELL &gt;&gt; QTB252 | PEX &gt;&gt; 202179 | ROULUNDS RUBBER &gt;&gt; RR1310 | TRISCAN &gt;&gt; 86455170XS | AE &gt;&gt; TB355 | JAPANPARTS &gt;&gt; DD408 | KAVO PARTS &gt;&gt; DTB2022 | VEYANCE &gt;&gt; G1210H | HUTCHINSON &gt;&gt; 129HTDP24 | ACDelco &gt;&gt; AB11239S | SCT Germany &gt;&gt; G170 | FLENNOR &gt;&gt; 4069V | ASHIKA &gt;&gt; 4004408 | NIPPARTS &gt;&gt; J1124008 | KDP &gt;&gt; DTB2022 | BLUE PRINT &gt;&gt; ADH27509 | FAI &gt;&gt; 41129 | SOLID AUTO (UK) &gt;&gt; H121012 | MOTAQUIP &gt;&gt; VTB270 | NPS &gt;&gt; H112A08 | ASHUKI &gt;&gt; 03368004 | JAPKO &gt;&gt; 40408 | QH Talbros &gt;&gt; QTB252</t>
  </si>
  <si>
    <t>GATES &gt;&gt; K015233XS | HERTH+BUSS JAKOPARTS &gt;&gt; J1114014</t>
  </si>
  <si>
    <t>GATES &gt;&gt; KO15233XS | HERTH+BUSS JAKOPARTS &gt;&gt; J1114014 | NIPPARTS &gt;&gt; J1114014</t>
  </si>
  <si>
    <t>HONDA &gt;&gt; 14510PG6000 | HONDA &gt;&gt; 14510PG6013 | HERTH+BUSS JAKOPARTS &gt;&gt; J1144012 | JAPANPARTS &gt;&gt; BE411 | KAVO PARTS &gt;&gt; DTE2010 | ASHIKA &gt;&gt; 4504411 | BLUE PRINT &gt;&gt; ADH27609 | NPS &gt;&gt; H113A08 | JAPKO &gt;&gt; 45411</t>
  </si>
  <si>
    <t>Weight, kg &gt;&gt; 0,458 | Quantity required,  &gt;&gt; 1</t>
  </si>
  <si>
    <t>HONDA &gt;&gt; 14510PG6013 | HONDA &gt;&gt; 14510PG6000 | HONDA &gt;&gt; J1144012HBJAKOPA | HONDA &gt;&gt; 57421RUVILLE | HONDA &gt;&gt; 68421SPIDAN | HONDA &gt;&gt; VKM73003SKF | SPIDAN &gt;&gt; 68421 | SPIDAN &gt;&gt; 70131 | LuK &gt;&gt; 531013420 | LuK &gt;&gt; 5310134000 | RUVILLE &gt;&gt; 57421 | DAYCO &gt;&gt; ATB2459 | SKF &gt;&gt; VKM73003 | HERTH+BUSS JAKOPARTS &gt;&gt; J1144012 | QUINTON HAZELL &gt;&gt; QTT320 | OPTIMAL &gt;&gt; 0N066 | JAPANPARTS &gt;&gt; BE411 | KAVO PARTS &gt;&gt; DTE2010 | INA &gt;&gt; 531013420 | BREDA  LORETT &gt;&gt; CR5165 | TIMKEN &gt;&gt; TKR9066 | FLENNOR &gt;&gt; FS62992 | ASHIKA &gt;&gt; 4504411 | NIPPARTS &gt;&gt; J1144012 | KDP &gt;&gt; DTE2010 | IPD &gt;&gt; 140636 | AUTEX &gt;&gt; 641641 | BLUE PRINT &gt;&gt; ADH27609 | NPS &gt;&gt; H113A08 | IPS Parts &gt;&gt; ITB6411 | VEMA &gt;&gt; 65014054 | JAPKO &gt;&gt; 45411 | QH Talbros &gt;&gt; QTT320</t>
  </si>
  <si>
    <t>HONDA &gt;&gt; 19300PL2004 | HONDA &gt;&gt; 19300PH7014 | HONDA &gt;&gt; 19300PH7004 | HONDA &gt;&gt; 19300PE0024 | HONDA &gt;&gt; 19300PE0013 | STANDARD &gt;&gt; 75111 | WAHLER &gt;&gt; 426978 | WAHLER &gt;&gt; 426978D | TRISCAN &gt;&gt; 86207282 | JAPANPARTS &gt;&gt; VT401 | JAPANPARTS &gt;&gt; VT204 | JAPANPARTS &gt;&gt; VT214 | JAPANPARTS &gt;&gt; VA013 | JAPANPARTS &gt;&gt; VA010 | JAPANPARTS &gt;&gt; JVT214 | JAPANPARTS &gt;&gt; JVT401 | JAPANPARTS &gt;&gt; JVT204 | KAVO PARTS &gt;&gt; TH2001 | FACET &gt;&gt; 78267 | FACET &gt;&gt; 580267 | FACET &gt;&gt; 1880267 | INTERMOTOR &gt;&gt; 75111 | CALORSTAT by Vernet &gt;&gt; 626778J | CALORSTAT by Vernet &gt;&gt; TH626778J | FAE &gt;&gt; 5307379 | NIPPARTS &gt;&gt; J1534001 | NIPPARTS &gt;&gt; J1534007 | MTE-THOMSON &gt;&gt; 25377 | BLUE PRINT &gt;&gt; ADH29205 | BLUE PRINT &gt;&gt; ADH29204 | MOTORAD &gt;&gt; 204277 | MOTORAD &gt;&gt; 24277 | BGA &gt;&gt; CT5422 | BGA &gt;&gt; CT5328K</t>
  </si>
  <si>
    <t>HONDA &gt;&gt; 19300PE0024 | HONDA &gt;&gt; 19300PE0014 | HONDA &gt;&gt; 3804401ASHIKA | HONDA &gt;&gt; VT401JAPANPARTS | HONDA &gt;&gt; 19300PE0013 | HONDA &gt;&gt; TH14178G1GATES | HONDA &gt;&gt; TH14178G2GATES | HONDA &gt;&gt; 19300PE0003 | HONDA &gt;&gt; J1534001HBJAKOPA | HONDA &gt;&gt; 820076VALEO | VALEO &gt;&gt; 820076 | GATES &gt;&gt; TH14178G2 | GATES &gt;&gt; TH14178G1 | HERTH+BUSS JAKOPARTS &gt;&gt; J1534001 | QUINTON HAZELL &gt;&gt; QTH328K | QUINTON HAZELL &gt;&gt; QTH328 | BORG &amp; BECK &gt;&gt; BTS20478 | WAHLER &gt;&gt; 426978D | WAHLER &gt;&gt; 426978 | TRISCAN &gt;&gt; 86208177 | TRISCAN &gt;&gt; 86205088 | TRISCAN &gt;&gt; 86205082 | TRISCAN &gt;&gt; 86205078 | MEYLE &gt;&gt; 31282280002 | JAPANPARTS &gt;&gt; VT401 | JAPANPARTS &gt;&gt; VA013 | VEMO &gt;&gt; V26990001 | KAVO PARTS &gt;&gt; TH2004 | UNIPART &gt;&gt; GTS275 | CALORSTAT by Vernet &gt;&gt; TH659978J | ASHIKA &gt;&gt; 3804401 | ASHIKA &gt;&gt; 22013 | NIPPARTS &gt;&gt; J1534006 | NIPPARTS &gt;&gt; J1534001 | SASIC &gt;&gt; 9000237 | BLUE PRINT &gt;&gt; ADH29204 | SOLID AUTO (UK) &gt;&gt; H128003 | FIRST LINE &gt;&gt; FTS20478 | NPS &gt;&gt; H153A01 | BGA &gt;&gt; CT5422 | BGA &gt;&gt; CT5328K | JAPKO &gt;&gt; 38401 | JAPKO &gt;&gt; 2213 | QH Talbros &gt;&gt; QTH328K | QH Talbros &gt;&gt; QTH328</t>
  </si>
  <si>
    <t>HONDA &gt;&gt; 12251PM5S01 | HONDA &gt;&gt; 12251PM5S02 | REINZ &gt;&gt; 615268000 | GOETZE &gt;&gt; 3002814300 | GLASER &gt;&gt; H8096500 | CORTECO &gt;&gt; 414718P | FAI AutoParts &gt;&gt; HG606 | FAI AutoParts &gt;&gt; HG914</t>
  </si>
  <si>
    <t>Thickness/Strength, mm &gt;&gt; 1,2 | Length, mm &gt;&gt; 380 | Width, mm &gt;&gt; 170</t>
  </si>
  <si>
    <t>Cylinder Bore [mm] &gt;&gt; 75,5</t>
  </si>
  <si>
    <t>HONDA &gt;&gt; 12251PG6003 | HONDA &gt;&gt; 12251PM7003 | HERTH+BUSS JAKOPARTS &gt;&gt; J1254005 | HERTH+BUSS JAKOPARTS &gt;&gt; J1254036</t>
  </si>
  <si>
    <t>HONDA &gt;&gt; 12251PG6003 | HONDA &gt;&gt; J1254036HBJAKOPA | HONDA &gt;&gt; 12251PM7003 | HONDA &gt;&gt; J1254005HBJAKOPA | HERTH+BUSS JAKOPARTS &gt;&gt; J1254005 | HERTH+BUSS JAKOPARTS &gt;&gt; J1254036 | NIPPARTS &gt;&gt; J1254005</t>
  </si>
  <si>
    <t>Thickness/Strength, mm &gt;&gt; 1,3 | O, mm &gt;&gt; 75,5 | Length, mm &gt;&gt; 385 | Width, mm &gt;&gt; 160</t>
  </si>
  <si>
    <t>HONDA &gt;&gt; 12251PM5000 | HONDA &gt;&gt; 12251PM3003 | HONDA &gt;&gt; 12251PM5S02 | HONDA &gt;&gt; 12251PM5S01 | REINZ &gt;&gt; 615235500 | ELRING &gt;&gt; 920304 | PAYEN &gt;&gt; BV350 | AJUSA &gt;&gt; 10075500 | ELWIS ROYAL &gt;&gt; 0031516 | FAI AutoParts &gt;&gt; HG914</t>
  </si>
  <si>
    <t>HONDA &gt;&gt; 06110PM5326 | HONDA &gt;&gt; 06110PM6T00 | HONDA &gt;&gt; 061A1PM6G00 | HONDA &gt;&gt; 061A1PM6601 | HONDA &gt;&gt; 06110PM6316 | HONDA &gt;&gt; 061A1PM6326 | HONDA &gt;&gt; 061A1PM6T01 | HONDA &gt;&gt; 061A1PM6000 | HONDA &gt;&gt; 061A1PM6T00 | HONDA &gt;&gt; 061A1PM6G01 | HERTH+BUSS JAKOPARTS &gt;&gt; J1244035 | JAPANPARTS &gt;&gt; KM499 | JAPANPARTS &gt;&gt; KG435 | JAPANPARTS &gt;&gt; JKM499 | ASHIKA &gt;&gt; 4904499 | ASHIKA &gt;&gt; 4804435 | BLUE PRINT &gt;&gt; ADH26244 | BLUE PRINT &gt;&gt; ADH26228 | NPS &gt;&gt; H124A35 | JAPKO &gt;&gt; 49499 | JAPKO &gt;&gt; 48435</t>
  </si>
  <si>
    <t>HONDA &gt;&gt; 06110P27010 | GOETZE &gt;&gt; 2128143210 | TRISCAN &gt;&gt; 5983026 | AJUSA &gt;&gt; 52102300 | CORTECO &gt;&gt; 418429P | FAI AutoParts &gt;&gt; HS914 | FAI AutoParts &gt;&gt; HS608 | BGA &gt;&gt; HK6516</t>
  </si>
  <si>
    <t>HONDA &gt;&gt; 06110P03030 | HONDA &gt;&gt; 06110P03000 | HONDA &gt;&gt; 06110PM5315 | HONDA &gt;&gt; 061A1PM3010 | HONDA &gt;&gt; 061A1PG6020 | HONDA &gt;&gt; 06110PM5305 | HONDA &gt;&gt; 061A1PG6010 | HONDA &gt;&gt; 061A1PM6G04 | HONDA &gt;&gt; 061A1PM6G03 | HONDA &gt;&gt; 06110PO3030 | HONDA &gt;&gt; 061A1PM6G02 | HONDA &gt;&gt; 061A1PM6G01 | HONDA &gt;&gt; 06110PM6030 | HONDA &gt;&gt; 06110PM3000 | HONDA &gt;&gt; 06110PM6326 | HONDA &gt;&gt; 061A1PM6G00 | HONDA &gt;&gt; 061A1PM6326 | HONDA &gt;&gt; 06110PM6325 | HONDA &gt;&gt; 061A1PM6030 | HONDA &gt;&gt; 061A1PM6020 | HONDA &gt;&gt; 061A1PM3020 | HONDA &gt;&gt; 06110PM6316 | HONDA &gt;&gt; 061A1PM6010 | HONDA &gt;&gt; 061A1PM6000 | HONDA &gt;&gt; 061A1PM4000 | HONDA &gt;&gt; LVQ10023 | REINZ &gt;&gt; 025235502 | REINZ &gt;&gt; 025268002 | ELRING &gt;&gt; 499770 | PAYEN &gt;&gt; DV351 | AJUSA &gt;&gt; 52102500 | ELWIS ROYAL &gt;&gt; 9831522 | FAI AutoParts &gt;&gt; HS914 | BLUE PRINT &gt;&gt; ADH26229</t>
  </si>
  <si>
    <t>Weight, kg &gt;&gt; 0,850 | Quantity required,  &gt;&gt; 1</t>
  </si>
  <si>
    <t>HONDA &gt;&gt; 06110PM5326 | HONDA &gt;&gt; 06110PM6T00 | HONDA &gt;&gt; 061A1PM6G00 | HONDA &gt;&gt; 061A1PM6601 | HONDA &gt;&gt; 4804435ASHIKA | HONDA &gt;&gt; KG435JAPANPARTS | HONDA &gt;&gt; J1244035HBJAKOPA | HONDA &gt;&gt; 06110PM6316 | HONDA &gt;&gt; 061A1PM6326 | HONDA &gt;&gt; 061A1PM6T01 | HONDA &gt;&gt; 061A1PM6000 | HONDA &gt;&gt; 061A1PM6T00 | HONDA &gt;&gt; 061A1PM6G01 | HERTH+BUSS JAKOPARTS &gt;&gt; J1244035 | TRISCAN &gt;&gt; 5983025 | AJUSA &gt;&gt; 52102500 | JAPANPARTS &gt;&gt; KG435 | ASHIKA &gt;&gt; 4804435 | NIPPARTS &gt;&gt; J1244035 | FAI AutoParts &gt;&gt; HS606 | BLUE PRINT &gt;&gt; ADH26244 | BLUE PRINT &gt;&gt; ADH26228 | NPS &gt;&gt; H124A35 | BGA &gt;&gt; HK6510 | JAPKO &gt;&gt; 48435</t>
  </si>
  <si>
    <t>Thickness/Strength, mm &gt;&gt; 5,5</t>
  </si>
  <si>
    <t>HONDA &gt;&gt; 12341PM3000 | HONDA &gt;&gt; 12341PM6010 | HONDA &gt;&gt; 12341PM6000 | HERTH+BUSS JAKOPARTS &gt;&gt; J1224013 | JAPANPARTS &gt;&gt; JGP413 | JAPANPARTS &gt;&gt; GP413 | ASHIKA &gt;&gt; 4704413 | BLUE PRINT &gt;&gt; ADH26717 | NPS &gt;&gt; H122A13 | JAPKO &gt;&gt; 47413</t>
  </si>
  <si>
    <t>HONDA &gt;&gt; 12341PM7000 | HONDA &gt;&gt; 12341PG6000 | ROVER &gt;&gt; FDU2559 | ROVER &gt;&gt; FDU2559EVA | REINZ &gt;&gt; 715235900 | REINZ &gt;&gt; 715254400 | GOETZE &gt;&gt; 5002815000 | GOETZE &gt;&gt; 5002814900 | GLASER &gt;&gt; 53598 | PAYEN &gt;&gt; JN925 | PAYEN &gt;&gt; JN632 | AJUSA &gt;&gt; 11046100 | AJUSA &gt;&gt; 56005000 | AJUSA &gt;&gt; 11046200 | CORTECO &gt;&gt; 440167P</t>
  </si>
  <si>
    <t xml:space="preserve">Composite material,  &gt;&gt; </t>
  </si>
  <si>
    <t>HONDA &gt;&gt; 12341PM6000 | ELRING &gt;&gt; 920339 | HERTH+BUSS JAKOPARTS &gt;&gt; J1224013 | GOETZE &gt;&gt; 5002814400 | FEBI BILSTEIN &gt;&gt; 17324 | JAPANPARTS &gt;&gt; GP413 | SWAG &gt;&gt; 85917324 | ASHIKA &gt;&gt; 4704413 | NIPPARTS &gt;&gt; J1224013 | FAI AutoParts &gt;&gt; RC916S | ASHUKI &gt;&gt; 03663104 | JAPKO &gt;&gt; 47413</t>
  </si>
  <si>
    <t>Weight, kg &gt;&gt; 0,044 | Quantity required,  &gt;&gt; 1</t>
  </si>
  <si>
    <t>HONDA &gt;&gt; 12341PM3000 | HONDA &gt;&gt; 12341PM6000 | HONDA &gt;&gt; J1224013HBJAKOPA | HONDA &gt;&gt; 4704413ASHIKA | HONDA &gt;&gt; 12341PM6010 | HONDA &gt;&gt; 17324FEBI | HONDA &gt;&gt; GP413JAPANPARTS | ROVER &gt;&gt; GUG5018VC | REINZ &gt;&gt; 715235700 | ELRING &gt;&gt; 389220 | ELRING &gt;&gt; 864260 | ELRING &gt;&gt; 920339 | ELRING &gt;&gt; 828416 | HERTH+BUSS JAKOPARTS &gt;&gt; J1224013 | HERTH+BUSS JAKOPARTS &gt;&gt; J1224031 | GOETZE &gt;&gt; 5002813800 | GLASER &gt;&gt; X8320401 | PAYEN &gt;&gt; JN744 | PAYEN &gt;&gt; JN679 | CORTECO &gt;&gt; 440157P | CORTECO &gt;&gt; 440186P | CORTECO &gt;&gt; 440183P | CORTECO &gt;&gt; 026583P | CORTECO &gt;&gt; 440164P | JAPANPARTS &gt;&gt; GP413 | JAPANPARTS &gt;&gt; JGP413 | ASHIKA &gt;&gt; 4704413 | NIPPARTS &gt;&gt; J1224013 | NIPPARTS &gt;&gt; J1224031 | FAI AutoParts &gt;&gt; RC916S | BLUE PRINT &gt;&gt; ADH26717 | FAI &gt;&gt; RC606S | FAI &gt;&gt; RC605S | SOLID AUTO (UK) &gt;&gt; H112018 | NPS &gt;&gt; H122A30 | NPS &gt;&gt; H122A24 | NPS &gt;&gt; H122A13 | JAPKO &gt;&gt; 47413</t>
  </si>
  <si>
    <t>ELRING &gt;&gt; 084300 | AJUSA &gt;&gt; 57030200</t>
  </si>
  <si>
    <t>HONDA &gt;&gt; 43022SF1010 | HONDA &gt;&gt; 06022SP8000 | HONDA &gt;&gt; 06430SAAJ50 | HONDA &gt;&gt; 43022SAAJ50 | HONDA &gt;&gt; 43022SF1000 | HONDA &gt;&gt; 43022S04E01 | HONDA &gt;&gt; 43022S04E03 | HONDA &gt;&gt; 5860095750 | HONDA &gt;&gt; 5860091630 | HONDA &gt;&gt; 5860051480 | HONDA &gt;&gt; 5860051490 | HONDA &gt;&gt; 43022S04010 | HONDA &gt;&gt; 43022S04030 | HONDA &gt;&gt; 43022S04E00 | HONDA &gt;&gt; 43022ST3E00 | HONDA &gt;&gt; 43022S04020 | HONDA &gt;&gt; 43022ST7A00 | HONDA &gt;&gt; 43022ST7000 | HONDA &gt;&gt; 43022ST3E01 | HONDA &gt;&gt; 43022SF1305 | HONDA &gt;&gt; 43022SF1S01 | HONDA &gt;&gt; 43022SR3000 | HONDA &gt;&gt; 43022S04000 | HONDA &gt;&gt; 43022SR3030 | HONDA &gt;&gt; 43022SR3020 | HONDA &gt;&gt; 43022SR3010 | HONDA &gt;&gt; 43022SK7000 | HONDA &gt;&gt; 43022SR2000 | HONDA &gt;&gt; 43022SR2010 | HONDA &gt;&gt; 43022SF1315 | HONDA &gt;&gt; 43022SF1515 | HONDA &gt;&gt; 43022SF1800 | HONDA &gt;&gt; 43022SF1S00 | HONDA &gt;&gt; 43022SF1525 | HONDA &gt;&gt; 43022SF1505 | MG &gt;&gt; GBP90347 | NISSAN &gt;&gt; AY060HN002 | ROVER &gt;&gt; GBP90347AF | ROVER &gt;&gt; GBP90347 | ROVER &gt;&gt; GBP90316AF | ROVER &gt;&gt; EJP1437 | ROVER &gt;&gt; GBP90316 | LOTUS &gt;&gt; GBP90316 | ATE &gt;&gt; 13046059982 | PAGID &gt;&gt; T0034 | VALEO &gt;&gt; 598053 | BOSCH &gt;&gt; 0986461131 | TEXTAR &gt;&gt; 2131201 | JURID &gt;&gt; 572136J | BENDIX &gt;&gt; 572136B | FTE &gt;&gt; BL1288A2 | QUINTON HAZELL &gt;&gt; BP448 | FERODO &gt;&gt; TAR621 | FERODO &gt;&gt; FDB621 | BREMBO &gt;&gt; P28017 | MINTEX &gt;&gt; MDB1411 | ZIMMERMANN &gt;&gt; 213121302 | DELPHI &gt;&gt; LP625 | METZGER &gt;&gt; 023302 | MAGNETI MARELLI &gt;&gt; 363700200034 | ROULUNDS RUBBER &gt;&gt; 456381 | METELLI &gt;&gt; 2201701 | NK &gt;&gt; 222608 | OPTIMAL &gt;&gt; 9572 | MAPCO &gt;&gt; 6530 | MEYLE &gt;&gt; 0252131313W | ROADHOUSE &gt;&gt; 223302 | REMSA &gt;&gt; 023300 | ICER &gt;&gt; 180752701 | VAICO &gt;&gt; V260022 | KAMOKA &gt;&gt; JQ1011048 | A.B.S. &gt;&gt; 36636 | LPR &gt;&gt; 05P506 | TRUSTING &gt;&gt; 1731 | TRW &gt;&gt; GDB499 | SCT Germany &gt;&gt; SP195 | KAGER &gt;&gt; 350301 | GIRLING &gt;&gt; 6104999 | KAWE &gt;&gt; 023302 | fri.tech. &gt;&gt; 1731 | sbs &gt;&gt; 1501222608 | E.T.F. &gt;&gt; 120396 | CIFAM &gt;&gt; 8221701 | WOKING &gt;&gt; P333302 | VILLAR &gt;&gt; 6260506 | SIMER &gt;&gt; 442</t>
  </si>
  <si>
    <t>HONDA &gt;&gt; 45022SD2A01 | HONDA &gt;&gt; 45022SD2A02 | HONDA &gt;&gt; 45022SD2518 | HONDA &gt;&gt; 45022SD2519 | HONDA &gt;&gt; 45022SD2508 | HONDA &gt;&gt; 45022SD2509 | HONDA &gt;&gt; 45022SD2506 | HONDA &gt;&gt; 45022SD2505 | HONDA &gt;&gt; 45022SE0912 | HONDA &gt;&gt; 45022SE0517 | HONDA &gt;&gt; 45022SE0527 | HONDA &gt;&gt; 45022SD2A13 | HONDA &gt;&gt; 45022SB2780 | HONDA &gt;&gt; 45022SE0507 | HONDA &gt;&gt; 45022SE0325 | HONDA &gt;&gt; 45022SE0315 | HONDA &gt;&gt; 45022SD2A11 | HONDA &gt;&gt; 45022SD2A12 | HONDA &gt;&gt; 45022SD2A10 | HONDA &gt;&gt; 45022SD2A03 | ATE &gt;&gt; 13046059182 | PAGID &gt;&gt; T0365 | VALEO &gt;&gt; 551610 | BOSCH &gt;&gt; 0986460936 | TEXTAR &gt;&gt; 2009915005T4047 | TEXTAR &gt;&gt; 2009902 | TEXTAR &gt;&gt; 2010414005 | JURID &gt;&gt; 572288J | BENDIX &gt;&gt; 572288B | BENDIX &gt;&gt; 572287B | QUINTON HAZELL &gt;&gt; BP425 | FERODO &gt;&gt; FDB454 | BREMBO &gt;&gt; P28010 | MINTEX &gt;&gt; MDB1586 | MINTEX &gt;&gt; MDB1344 | DELPHI &gt;&gt; LP525 | DELPHI &gt;&gt; LP721 | ROULUNDS RUBBER &gt;&gt; 496881 | ROADHOUSE &gt;&gt; 222802 | REMSA &gt;&gt; 022802 | ICER &gt;&gt; 180750 | UNIPART &gt;&gt; GBP708AF | UNIPART &gt;&gt; GBP708 | TRW &gt;&gt; GDB925 | TRW &gt;&gt; GDB784 | FMSI-VERBAND &gt;&gt; 7229D334 | NECTO &gt;&gt; FD6290A | NIPPARTS &gt;&gt; 3604024 | NIPPARTS &gt;&gt; 3604018 | Brake ENGINEERING &gt;&gt; PA463 | APEC braking &gt;&gt; PAD502 | BLUE PRINT &gt;&gt; ADH24221 | BLUE PRINT &gt;&gt; ADH24216 | A.B.S. &gt;&gt; 36615</t>
  </si>
  <si>
    <t>HONDA &gt;&gt; 43022SE0N50 | HONDA &gt;&gt; 43022SH3305 | HONDA &gt;&gt; 43022SE0931 | HONDA &gt;&gt; 43022SE0930 | ROVER &gt;&gt; GBP316AF | ATE &gt;&gt; 605998 | ATE &gt;&gt; 13046059982 | PAGID &gt;&gt; T0034 | LUCAS ELECTRICAL &gt;&gt; GDB0499 | VALEO &gt;&gt; 551728 | BOSCH &gt;&gt; 986461131 | BOSCH &gt;&gt; 0986461131 | BOSCH &gt;&gt; BP582 | TEXTAR &gt;&gt; 2131201 | JURID &gt;&gt; 572137J | JURID &gt;&gt; 572136J | JURID &gt;&gt; 572135J | BENDIX &gt;&gt; 572136B | BENDIX &gt;&gt; 572136 | BENDIX &gt;&gt; 572135B | FTE &gt;&gt; BL1291A2 | FTE &gt;&gt; BL1288A2 | QUINTON HAZELL &gt;&gt; QFD7448AF | QUINTON HAZELL &gt;&gt; BP448 | FERODO &gt;&gt; FDB621 | FERODO &gt;&gt; FDB472 | FERODO &gt;&gt; FDB0472 | BREMBO &gt;&gt; P28017 | HERTH+BUSS ELPARTS &gt;&gt; J3614004 | HERTH+BUSS ELPARTS &gt;&gt; J3614002 | HERTH+BUSS ELPARTS &gt;&gt; J3614003 | MINTEX &gt;&gt; MDB2191 | MINTEX &gt;&gt; MDB1411 | MAGNETI MARELLI &gt;&gt; T0034MM | ROULUNDS RUBBER &gt;&gt; 456381 | ROADHOUSE &gt;&gt; 223300 | REMSA &gt;&gt; 23300 | ICER &gt;&gt; 180752 | AUGROS &gt;&gt; 55585210 | TRW &gt;&gt; GDB499 | HAVAM &gt;&gt; 2638 | FMSI-VERBAND &gt;&gt; D3397233 | APEC braking &gt;&gt; PAD611 | VEMA &gt;&gt; 834530</t>
  </si>
  <si>
    <t>HONDA &gt;&gt; 43022SF1305 | HONDA &gt;&gt; 43022SF1505 | HONDA &gt;&gt; 43022SF1515 | HONDA &gt;&gt; 43022SF1315 | HONDA &gt;&gt; 43022SD2505 | HONDA &gt;&gt; 43022SF1000 | HONDA &gt;&gt; 43022SF1010 | HONDA &gt;&gt; 43022SF0505 | HONDA &gt;&gt; 43022S04E00 | HONDA &gt;&gt; 43022S04E03 | HONDA &gt;&gt; 43022SAAJ50 | HONDA &gt;&gt; 43022S04E01 | HONDA &gt;&gt; 43022S04000 | HONDA &gt;&gt; 43022S04020 | HONDA &gt;&gt; 43022S04030 | HONDA &gt;&gt; 43022S04010 | HONDA &gt;&gt; 06430SAAJ50 | HONDA &gt;&gt; 5860051480 | HONDA &gt;&gt; 5860091630 | HONDA &gt;&gt; 5860095750 | HONDA &gt;&gt; 5860051490 | HONDA &gt;&gt; 06022SP8000 | HONDA &gt;&gt; 43022SR3010 | HONDA &gt;&gt; 43022ST3E01 | HONDA &gt;&gt; 43022ST7A00 | HONDA &gt;&gt; 43022ST7000 | HONDA &gt;&gt; 43022SR3020 | HONDA &gt;&gt; 43022SR3030 | HONDA &gt;&gt; 43022ST3E00 | HONDA &gt;&gt; 43022SF1525 | HONDA &gt;&gt; 43022SK7000 | HONDA &gt;&gt; 43022SR2010 | HONDA &gt;&gt; 43022SR3000 | HONDA &gt;&gt; 43022SR2000 | HONDA &gt;&gt; 43022SF1800 | HONDA &gt;&gt; 43022SF1S00 | HONDA &gt;&gt; 43022SF1S01 | MG &gt;&gt; GBP90347 | NISSAN &gt;&gt; AY060HN002 | ROVER &gt;&gt; EJP1437 | ROVER &gt;&gt; GBP90347 | ROVER &gt;&gt; GBP90347AF | ROVER &gt;&gt; GBP90316AF | ROVER &gt;&gt; GBP90316 | LOTUS &gt;&gt; GBP90316 | SPIDAN &gt;&gt; 31105 | SPIDAN &gt;&gt; 32870 | ATE &gt;&gt; 13046059982 | PAGID &gt;&gt; T3107 | PAGID &gt;&gt; T0034 | VALEO &gt;&gt; 598437 | VALEO &gt;&gt; 597056 | VALEO &gt;&gt; 598053 | VALEO &gt;&gt; 551695 | BOSCH &gt;&gt; 986461131 | BOSCH &gt;&gt; 0986461131 | LEMFORDER &gt;&gt; 26260 | LEMFORDER &gt;&gt; 26178 | TEXTAR &gt;&gt; 2173801 | TEXTAR &gt;&gt; 2131213005 | TEXTAR &gt;&gt; 2131201 | JURID &gt;&gt; 572136J | JURID &gt;&gt; 572137J | JURID &gt;&gt; 571977J | JURID &gt;&gt; 571977D | BENDIX &gt;&gt; 572137B | BENDIX &gt;&gt; 572136B | BENDIX &gt;&gt; 571977X | BENDIX &gt;&gt; 571977B | FTE &gt;&gt; BL1544A2 | FTE &gt;&gt; BL1288A2 | HERTH+BUSS JAKOPARTS &gt;&gt; J3614004 | QUINTON HAZELL &gt;&gt; BP836 | QUINTON HAZELL &gt;&gt; BP330 | QUINTON HAZELL &gt;&gt; BP448 | QUINTON HAZELL &gt;&gt; BLF836 | QUINTON HAZELL &gt;&gt; BLF448 | FERODO &gt;&gt; TAR621 | FERODO &gt;&gt; FDB621 | FERODO &gt;&gt; FSL621 | BREMBO &gt;&gt; P28017 | MINTEX &gt;&gt; MDK0073 | MINTEX &gt;&gt; MDB1616 | MINTEX &gt;&gt; MDK0054 | MINTEX &gt;&gt; MDB1360 | MINTEX &gt;&gt; MDB1411 | PEX &gt;&gt; 7374 | PEX &gt;&gt; 7134 | ZIMMERMANN &gt;&gt; 217191501 | ZIMMERMANN &gt;&gt; 213121302 | DELPHI &gt;&gt; LP625 | DELPHI &gt;&gt; LP404 | DELPHI &gt;&gt; LP0625 | METZGER &gt;&gt; 023352 | METZGER &gt;&gt; 023302 | MAGNETI MARELLI &gt;&gt; 363702160965 | MAGNETI MARELLI &gt;&gt; 363702160861 | ROULUNDS RUBBER &gt;&gt; 620381 | ROULUNDS RUBBER &gt;&gt; 456381 | FEBI BILSTEIN &gt;&gt; 16309 | TRISCAN &gt;&gt; 811040978 | TRISCAN &gt;&gt; 811040925 | TRISCAN &gt;&gt; 811010014 | TRISCAN &gt;&gt; 811040003 | METELLI &gt;&gt; 2201701 | METELLI &gt;&gt; 2201690 | METELLI &gt;&gt; 2201730 | NK &gt;&gt; 229972 | OPTIMAL &gt;&gt; 9572 | OPTIMAL &gt;&gt; 9375 | MAPCO &gt;&gt; 6530 | KBP &gt;&gt; BP2029 | JAPANPARTS &gt;&gt; PP402AF | JAPANPARTS &gt;&gt; PP404AF | ICER &gt;&gt; 181024 | ICER &gt;&gt; 180752701 | ICER &gt;&gt; 180752 | ICER &gt;&gt; 180600 | RAMEDER &gt;&gt; T0610582 | QH Benelux &gt;&gt; 2802 | QH Benelux &gt;&gt; 2727 | QH Benelux &gt;&gt; 2638 | QH Benelux &gt;&gt; 2403 | A.B.S. &gt;&gt; 36636OE | A.B.S. &gt;&gt; 36636 | TRUSTING &gt;&gt; 1760 | TRUSTING &gt;&gt; 1731 | TRW &gt;&gt; GDB499 | SWAG &gt;&gt; 85916309 | ACDelco &gt;&gt; AC620381D | ACDelco &gt;&gt; AC456381D | SCT Germany &gt;&gt; SP195 | ASHIKA &gt;&gt; 5104404 | ASHIKA &gt;&gt; 5104402 | NECTO &gt;&gt; FD6458N | NECTO &gt;&gt; FD6458A | NIPPARTS &gt;&gt; J3614004 | MGA &gt;&gt; 305 | MGA &gt;&gt; 492 | Brake ENGINEERING &gt;&gt; PA545 | APEC braking &gt;&gt; PAD611 | GIRLING &gt;&gt; 6104999 | KAWE &gt;&gt; 80756 | KAWE &gt;&gt; 80695 | fri.tech. &gt;&gt; 1760 | fri.tech. &gt;&gt; 1731 | sbs &gt;&gt; 229972 | E.T.F. &gt;&gt; 120530 | E.T.F. &gt;&gt; 120396 | WOKING &gt;&gt; P333302 | WOKING &gt;&gt; P333300 | BLUE PRINT &gt;&gt; ADH24254 | HERZOG GERMANY &gt;&gt; 886636</t>
  </si>
  <si>
    <t>HONDA &gt;&gt; 5860051480 | HONDA &gt;&gt; 5860051490 | HONDA &gt;&gt; 5860091630 | HONDA &gt;&gt; 43022SR3505 | HONDA &gt;&gt; 43022ST7000 | HONDA &gt;&gt; 43022ST7A00 | HONDA &gt;&gt; 43022ST3E00 | HONDA &gt;&gt; 43022ST3E01 | HONDA &gt;&gt; 43022ST3E50HE | HONDA &gt;&gt; 43022SK3E00 | HONDA &gt;&gt; 43022SR3000 | HONDA &gt;&gt; 43022SR3020 | HONDA &gt;&gt; 43022SR3030 | HONDA &gt;&gt; 43022SR3010 | HONDA &gt;&gt; 43022SK7000 | HONDA &gt;&gt; 43022SR2000 | HONDA &gt;&gt; 43022SR2010 | HONDA &gt;&gt; 43022SF1315 | HONDA &gt;&gt; 43022SF1800 | HONDA &gt;&gt; 43022SH3G00 | HONDA &gt;&gt; 43022SH3J00 | HONDA &gt;&gt; 43022SF1S01 | HONDA &gt;&gt; 43022SF1505 | HONDA &gt;&gt; 43022SF1515 | HONDA &gt;&gt; 43022SF1525 | HONDA &gt;&gt; 43022SD2930 | HONDA &gt;&gt; 43022SF0670 | HONDA &gt;&gt; 43022SF1010 | HONDA &gt;&gt; 43022SF1305 | HONDA &gt;&gt; 43022SF1000 | HONDA &gt;&gt; 43022SD2A00 | HONDA &gt;&gt; 43022SD2A01 | HONDA &gt;&gt; 43022SF0505 | HONDA &gt;&gt; 06430SAAJ50 | HONDA &gt;&gt; 43022S04E00 | HONDA &gt;&gt; 43022SAAJ50 | HONDA &gt;&gt; 43022SD2505 | HONDA &gt;&gt; 43022S04E01 | HONDA &gt;&gt; 43022S04000 | HONDA &gt;&gt; 43022S04020 | HONDA &gt;&gt; 43022S04030 | HONDA &gt;&gt; 43022S04010 | HONDA &gt;&gt; 06022SP8000 | HONDA &gt;&gt; 5860095750 | MG &gt;&gt; GBP90347 | MG &gt;&gt; EJP1437 | ROVER &gt;&gt; GBP90347AF | ROVER &gt;&gt; GBP90347 | ROVER &gt;&gt; GBP90316AF | ROVER &gt;&gt; GBP90316 | ROVER &gt;&gt; EJP1437 | LOTUS &gt;&gt; GBP90316 | SPIDAN &gt;&gt; 32870 | SPIDAN &gt;&gt; 31105 | HELLA &gt;&gt; 8DB355017151 | HELLA &gt;&gt; 8DB355005731 | ATE &gt;&gt; 13046059982 | ATE &gt;&gt; 13046057312 | PAGID &gt;&gt; T3107 | PAGID &gt;&gt; T0034 | VALEO &gt;&gt; 551695 | VALEO &gt;&gt; 598053 | VALEO &gt;&gt; 598437 | VALEO &gt;&gt; 597056 | RUVILLE &gt;&gt; D56474430 | BOSCH &gt;&gt; 0986TB2181 | BOSCH &gt;&gt; 0986TB2120 | BOSCH &gt;&gt; 0986AB3779 | BOSCH &gt;&gt; 0986AB2667 | BOSCH &gt;&gt; 0986AB2169 | BOSCH &gt;&gt; 0986AB2033 | BOSCH &gt;&gt; 0986505729 | BOSCH &gt;&gt; 0986495256 | BOSCH &gt;&gt; 0986494392 | BOSCH &gt;&gt; F03B150024 | BOSCH &gt;&gt; F026000120 | BOSCH &gt;&gt; 0986494128 | BOSCH &gt;&gt; 0986461131 | BOSCH &gt;&gt; 986461131 | LEMFORDER &gt;&gt; 26260 | LEMFORDER &gt;&gt; 26178 | TEXTAR &gt;&gt; 2173804 | TEXTAR &gt;&gt; 2173801 | TEXTAR &gt;&gt; 2131213005 | TEXTAR &gt;&gt; 2131201 | JURID &gt;&gt; 572473J | JURID &gt;&gt; 572137J | JURID &gt;&gt; 572136J | JURID &gt;&gt; 572135J | JURID &gt;&gt; 571977D | JURID &gt;&gt; 571977J | BENDIX &gt;&gt; 572137B | BENDIX &gt;&gt; 572136B | BENDIX &gt;&gt; 571977X | BENDIX &gt;&gt; 571977B | FTE &gt;&gt; BL1544A2 | FTE &gt;&gt; BL1288A2 | HERTH+BUSS JAKOPARTS &gt;&gt; J3614004 | QUINTON HAZELL &gt;&gt; BP836 | QUINTON HAZELL &gt;&gt; BP448 | QUINTON HAZELL &gt;&gt; BP330 | QUINTON HAZELL &gt;&gt; BLF836 | QUINTON HAZELL &gt;&gt; BLF448 | FERODO &gt;&gt; TAR621 | FERODO &gt;&gt; FSL621 | FERODO &gt;&gt; FDB621 | BREMBO &gt;&gt; P28017 | MINTEX &gt;&gt; MDK0073 | MINTEX &gt;&gt; MDK0054 | MINTEX &gt;&gt; MDB1616 | MINTEX &gt;&gt; MDB1411 | MINTEX &gt;&gt; MDB1360 | PEX &gt;&gt; 7374 | PEX &gt;&gt; 7134 | ZIMMERMANN &gt;&gt; 217381301 | ZIMMERMANN &gt;&gt; 217191501 | ZIMMERMANN &gt;&gt; 213121302 | DELPHI &gt;&gt; LP625 | DELPHI &gt;&gt; LP404 | DELPHI &gt;&gt; LP0625 | METZGER &gt;&gt; 023352 | METZGER &gt;&gt; 023302 | MAGNETI MARELLI &gt;&gt; 363702160965 | MAGNETI MARELLI &gt;&gt; 363702160861 | ROULUNDS RUBBER &gt;&gt; 456381 | ROULUNDS RUBBER &gt;&gt; 620381 | FEBI BILSTEIN &gt;&gt; 16309 | TRISCAN &gt;&gt; 811040003 | TRISCAN &gt;&gt; 811040978 | TRISCAN &gt;&gt; 811040925 | TRISCAN &gt;&gt; 811010014 | METELLI &gt;&gt; 2201730 | METELLI &gt;&gt; 2201701 | METELLI &gt;&gt; 2201690 | NK &gt;&gt; 229972 | NK &gt;&gt; 222646 | OPTIMAL &gt;&gt; 9572 | OPTIMAL &gt;&gt; 9375 | MAPCO &gt;&gt; 6530 | MEYLE &gt;&gt; 0252173813W | MEYLE &gt;&gt; 0252131313W | KBP &gt;&gt; BP2029 | REMSA &gt;&gt; 23302 | REMSA &gt;&gt; 23300 | REMSA &gt;&gt; 023302 | REMSA &gt;&gt; 32532 | JAPANPARTS &gt;&gt; PP404AF | JAPANPARTS &gt;&gt; PP402AF | ICER &gt;&gt; 181024 | ICER &gt;&gt; 180752701 | ICER &gt;&gt; 180752 | ICER &gt;&gt; 180600 | RAMEDER &gt;&gt; T0610582 | QH Benelux &gt;&gt; 2802 | QH Benelux &gt;&gt; 2727 | QH Benelux &gt;&gt; 2638 | QH Benelux &gt;&gt; 2403 | A.B.S. &gt;&gt; 36636OE | A.B.S. &gt;&gt; 36636 | LPR &gt;&gt; 05P506 | LPR &gt;&gt; 05P1425 | LPR &gt;&gt; 05P507 | TRUSTING &gt;&gt; 1760 | TRUSTING &gt;&gt; 1731 | TRW &gt;&gt; GDB499 | SWAG &gt;&gt; 85916309 | ACDelco &gt;&gt; AC620381D | ACDelco &gt;&gt; AC456381D | SCT Germany &gt;&gt; SP195 | MK Kashiyama &gt;&gt; D5042M | ASHIKA &gt;&gt; 5104404 | ASHIKA &gt;&gt; 5104402 | NECTO &gt;&gt; FD6458N | NECTO &gt;&gt; FD6458A | NIPPARTS &gt;&gt; J3614004 | MGA &gt;&gt; 492 | MGA &gt;&gt; 305 | Brake ENGINEERING &gt;&gt; PA545 | APEC braking &gt;&gt; PAD611 | GIRLING &gt;&gt; 6104999 | KAWE &gt;&gt; 80756 | KAWE &gt;&gt; 80695 | fri.tech. &gt;&gt; 1760 | fri.tech. &gt;&gt; 1731 | sbs &gt;&gt; 229972 | E.T.F. &gt;&gt; 120530 | E.T.F. &gt;&gt; 120396 | WOKING &gt;&gt; P333302 | WOKING &gt;&gt; P333300 | BLUE PRINT &gt;&gt; ADH24254 | HERZOG GERMANY &gt;&gt; 886636 | FIRST LINE &gt;&gt; FBP3283 | FIRST LINE &gt;&gt; FBP3146 | DITAS &gt;&gt; DFB5273 | DITAS &gt;&gt; DFB5215</t>
  </si>
  <si>
    <t>Length, mm &gt;&gt; 420 | Width, mm &gt;&gt; 240</t>
  </si>
  <si>
    <t>HONDA &gt;&gt; 11251P01004 | HONDA &gt;&gt; 11251PE0000 | HONDA &gt;&gt; 11251PE0020 | HONDA &gt;&gt; DBP4100 | HONDA &gt;&gt; 11251PE0010 | HONDA &gt;&gt; 11251PE0003 | HONDA &gt;&gt; 11251PE0004 | HONDA &gt;&gt; 11251PE2020 | HONDA &gt;&gt; 11251PE2010 | HONDA &gt;&gt; 11251PE2003 | HONDA &gt;&gt; 11251PE2004 | HONDA &gt;&gt; DBP9347 | REINZ &gt;&gt; 715228400 | ELRING &gt;&gt; 705110 | PAYEN &gt;&gt; JJ309 | AJUSA &gt;&gt; 14029700 | ELWIS ROYAL &gt;&gt; 1031511 | FAI AutoParts &gt;&gt; SG333</t>
  </si>
  <si>
    <t>Parameter,  &gt;&gt; D 200 | Hub Profile,  &gt;&gt; 22 x 21</t>
  </si>
  <si>
    <t>HONDA &gt;&gt; 22105PH5535 | HONDA &gt;&gt; 22105PH5525 | HONDA &gt;&gt; 22105PG7525 | LuK &gt;&gt; 620054760 | VALEO &gt;&gt; 009214 | SACHS &gt;&gt; 3000253001 | KCP &gt;&gt; CP8005 | NIPPARTS &gt;&gt; J2004009</t>
  </si>
  <si>
    <t>O, mm &gt;&gt; 200 |  &gt;&gt; with clutch plate |  &gt;&gt; with clutch pressure plate |  &gt;&gt; with releaser</t>
  </si>
  <si>
    <t>HONDA &gt;&gt; 22105PG7525 | HONDA &gt;&gt; 22105PH5535 | HONDA &gt;&gt; 22105PH5525 | VALEO &gt;&gt; 009214 | SACHS &gt;&gt; 3000253001 | HERTH+BUSS JAKOPARTS &gt;&gt; J2004001 | HERTH+BUSS JAKOPARTS &gt;&gt; J2004009 | HERTH+BUSS JAKOPARTS &gt;&gt; J2004015 | HERTH+BUSS JAKOPARTS &gt;&gt; J2004010 | QUINTON HAZELL &gt;&gt; QKT600AF | QUINTON HAZELL &gt;&gt; QKT529AF | BORG &amp; BECK &gt;&gt; HK8546 | BORG &amp; BECK &gt;&gt; S02572 | BORG &amp; BECK &gt;&gt; 52930050 | TTV &gt;&gt; TCK3182 | NK &gt;&gt; 132607 | NATIONAL &gt;&gt; NCK182 | UNIPART &gt;&gt; GCK408AF | TRIPLE FIVE &gt;&gt; H110015 | TRIPLE FIVE &gt;&gt; KK336 | TRIPLE FIVE &gt;&gt; 08006 | DAIKIN &gt;&gt; HCK2011 | BLUE PRINT &gt;&gt; ADH23011 | BLUE PRINT &gt;&gt; ADH23006</t>
  </si>
  <si>
    <t>Teeth Quant.,  &gt;&gt; 21 | O, mm &gt;&gt; 200</t>
  </si>
  <si>
    <t>Multi-piece &gt;&gt; Three-piece</t>
  </si>
  <si>
    <t>LuK &gt;&gt; 620054760 | VALEO &gt;&gt; 9214 | SACHS &gt;&gt; 3000253001 | QUINTON HAZELL &gt;&gt; QKT529AF | BORG &amp; BECK &gt;&gt; HK8546 | NATIONAL &gt;&gt; CK9045</t>
  </si>
  <si>
    <t>Inner Diameter, mm &gt;&gt; 20 | Outer Diameter, mm &gt;&gt; 21,9 | Number of splines on input shaft,  &gt;&gt; 21</t>
  </si>
  <si>
    <t>FORD &gt;&gt; 5025283 | LuK &gt;&gt; 620054760 | LuK &gt;&gt; 620054700 | VALEO &gt;&gt; 009214 | SACHS &gt;&gt; 3000253001 | QUINTON HAZELL &gt;&gt; QKT529AF | NK &gt;&gt; 132607 | NATIONAL &gt;&gt; CK9045 | ACDelco &gt;&gt; AC192K | BLUE PRINT &gt;&gt; ADH23011 | BLUE PRINT &gt;&gt; ADH23006 | SOLID AUTO (UK) &gt;&gt; H110015 | EXEDY &gt;&gt; HCK2011 | UNIPART &gt;&gt; GCK408AF</t>
  </si>
  <si>
    <t>New Part,  &gt;&gt;  | D1, mm &gt;&gt; 200 | Version,  &gt;&gt; CP | D2, mm &gt;&gt; 200 | Teeth Quant.,  &gt;&gt; 21 | Hub Profile,  &gt;&gt; 20,4 x 22,4</t>
  </si>
  <si>
    <t>HONDA &gt;&gt; 22000PC3731 | LuK &gt;&gt; 620054760 | SACHS &gt;&gt; 3000253001 | QUINTON HAZELL &gt;&gt; QKT529AF | UNIPART &gt;&gt; GCK408AF | AISIN &gt;&gt; KH008 | ACDelco &gt;&gt; AC192K | ASHIKA &gt;&gt; 9204405 | NIPPARTS &gt;&gt; J2004009</t>
  </si>
  <si>
    <t>Teeth Quant.,  &gt;&gt; 21 | O, mm &gt;&gt; 200 | Hub Profile,  &gt;&gt; 21X20,4X22,4 | D1, mm &gt;&gt; 200 | Hub Profile,  &gt;&gt; 21x20,4x22,4</t>
  </si>
  <si>
    <t>LuK &gt;&gt; 620054760 | VALEO &gt;&gt; 009214 | SACHS &gt;&gt; 3000253001 | QUINTON HAZELL &gt;&gt; QKT529AF</t>
  </si>
  <si>
    <t>HONDA &gt;&gt; 19045692003 | HONDA &gt;&gt; 19045PA0014 | HYUNDAI &gt;&gt; 2533011413 | HYUNDAI &gt;&gt; 2533011415 | HYUNDAI &gt;&gt; 2533011414 | SMART &gt;&gt; 4545000040 | CALORSTAT by Vernet &gt;&gt; RC0042 | NIPPARTS &gt;&gt; J1545000</t>
  </si>
  <si>
    <t>Fitting Position,  &gt;&gt; Transmission End | Width, mm &gt;&gt; 10 | Shape,  &gt;&gt; Round | Inner Diameter, mm &gt;&gt; 80 | Outer Diameter, mm &gt;&gt; 100</t>
  </si>
  <si>
    <t>HONDA &gt;&gt; 91214PD2004 | HONDA &gt;&gt; 91214PC6003 | HONDA &gt;&gt; 91214PC6013 | HONDA &gt;&gt; 91214PR4A00 | HONDA &gt;&gt; 91214PLE003 | HONDA &gt;&gt; 91214PH1661 | HONDA &gt;&gt; 91214PH3751 | HONDA &gt;&gt; 91214PR4A01 | HONDA &gt;&gt; 91212PT0004 | HONDA &gt;&gt; 91214PH1004 | HONDA &gt;&gt; 91214PH1003 | HONDA &gt;&gt; 91214PE1721 | REINZ &gt;&gt; 814565800 | REINZ &gt;&gt; 815332300 | PAYEN &gt;&gt; NJ312 | AJUSA &gt;&gt; 15047400 | CORTECO &gt;&gt; 19016488B | FAI AutoParts &gt;&gt; OS312</t>
  </si>
  <si>
    <t>Fitting Position,  &gt;&gt; Transmission End | Width, mm &gt;&gt; 8 | Shape,  &gt;&gt; Round | Inner Diameter, mm &gt;&gt; 31 | Outer Diameter, mm &gt;&gt; 46</t>
  </si>
  <si>
    <t>from construction year &gt;&gt; 01/1989 | Engine Code &gt;&gt; ZC | Fitting Position &gt;&gt; Timing End</t>
  </si>
  <si>
    <t>HONDA &gt;&gt; 91212PE0001 | HONDA &gt;&gt; 91212PE0000 | HONDA &gt;&gt; 91212PE0662 | HONDA &gt;&gt; 91212PE0003 | HONDA &gt;&gt; 91212PE1721 | HONDA &gt;&gt; 91212PE0002 | HONDA &gt;&gt; 91214PT0004 | PAYEN &gt;&gt; NJ381 | AJUSA &gt;&gt; 15047300 | CORTECO &gt;&gt; 19016484B | FAI AutoParts &gt;&gt; OS381</t>
  </si>
  <si>
    <t>Quality,  &gt;&gt; Silikon | Outer Diameter, mm &gt;&gt; 7 | Port Type,  &gt;&gt; DIN | Port Type,  &gt;&gt; SAE | Length 1, mm &gt;&gt; 440 | Length 2, mm &gt;&gt; 540 | Length 3, mm &gt;&gt; 640 | Length 4, mm &gt;&gt; 720 | Production Number,  &gt;&gt; 912-40-6610 SW | Production Number,  &gt;&gt; S9126610</t>
  </si>
  <si>
    <t>HONDA &gt;&gt; 32700P0HA00 | HONDA &gt;&gt; 32700P7AG01 | HONDA &gt;&gt; 32722P2A003 | HONDA &gt;&gt; 32700P1JE01 | HONDA &gt;&gt; 32700PEL004 | HONDA &gt;&gt; 32700PDAE01 | NIPPARTS &gt;&gt; J5384019 | KAGER &gt;&gt; 641109 | JANMOR &gt;&gt; JP102</t>
  </si>
  <si>
    <t>Port Type,  &gt;&gt; SAE | Port Type,  &gt;&gt; DIN | Outer Diameter, mm &gt;&gt; 7</t>
  </si>
  <si>
    <t>Ignition Cable &gt;&gt; without ignition cable</t>
  </si>
  <si>
    <t>HONDA &gt;&gt; 32700PDAE01 | HONDA &gt;&gt; 32700P1JE01 | HONDA &gt;&gt; 32700P7AG01 | HONDA &gt;&gt; 32700PEL004 | HONDA &gt;&gt; 32700P0HA00 | HONDA &gt;&gt; 32722P2A003 | HERTH+BUSS JAKOPARTS &gt;&gt; J5384017 | HERTH+BUSS JAKOPARTS &gt;&gt; J5384036 | JAPANPARTS &gt;&gt; IC415 | JAPANPARTS &gt;&gt; IC413 | KAVO PARTS &gt;&gt; ICK2008 | KAVO PARTS &gt;&gt; ICK2013 | ASHIKA &gt;&gt; 13204415 | ASHIKA &gt;&gt; 13204413 | BLUE PRINT &gt;&gt; ADH21616 | BLUE PRINT &gt;&gt; ADH21605 | JAPKO &gt;&gt; 132413 | JAPKO &gt;&gt; 132415</t>
  </si>
  <si>
    <t xml:space="preserve"> &gt;&gt; Silicone | Core Dimensions,  &gt;&gt; WIRE WOUND | Outer Diameter, mm &gt;&gt; 7 |  &gt;&gt; Coupling Type DIN |  &gt;&gt; Coupling Type SAE</t>
  </si>
  <si>
    <t>HONDA &gt;&gt; 32700PDAE01 | HONDA &gt;&gt; 32700P7AG01 | HONDA &gt;&gt; 32700P1JE01 | HONDA &gt;&gt; 32700P0HA00 | HONDA &gt;&gt; 32722P2A003 | HONDA &gt;&gt; 32700PEL004 | NIPPARTS &gt;&gt; J5384019 | KAGER &gt;&gt; 641109</t>
  </si>
  <si>
    <t xml:space="preserve"> &gt;&gt; EPDM (ethylene propylene diene Monomer (M-class) rubber) | Core Dimensions,  &gt;&gt; KEVLAR | Outer Diameter, mm &gt;&gt; 7 |  &gt;&gt; Coupling Type DIN |  &gt;&gt; Coupling Type SAE</t>
  </si>
  <si>
    <t>HONDA &gt;&gt; 32700P0HA00 | HONDA &gt;&gt; 32700P7AG01 | HONDA &gt;&gt; 32722P2A003 | HONDA &gt;&gt; 32700P1JE01 | HONDA &gt;&gt; 32700PEL004 | HONDA &gt;&gt; 32700PDAE01 | NIPPARTS &gt;&gt; J5384019 | KAGER &gt;&gt; 641109</t>
  </si>
  <si>
    <t>Outer Diameter, mm &gt;&gt; 7 | Core Dimensions,  &gt;&gt; WIRE WOUND |  &gt;&gt; Silicone</t>
  </si>
  <si>
    <t>HONDA &gt;&gt; 32700P0AA00 | HONDA &gt;&gt; 32700P1JE01 | HONDA &gt;&gt; 32722P2AJ00 | HONDA &gt;&gt; 32700PDAE01 | HONDA &gt;&gt; 32700P0HA00 | HONDA &gt;&gt; 32700PCA003 | HONDA &gt;&gt; 32700PAAA02 | HONDA &gt;&gt; 32722P2T000 | HONDA &gt;&gt; 32722P2FA03 | NGK &gt;&gt; RCHE64 | NGK &gt;&gt; RCHE75 | NGK &gt;&gt; RCHE73 | BREMI &gt;&gt; 600330 | BREMI &gt;&gt; 600232 | BREMI &gt;&gt; 600229 | JANMOR &gt;&gt; JPE102 | JANMOR &gt;&gt; JP102</t>
  </si>
  <si>
    <t>STANDARD</t>
  </si>
  <si>
    <t>Ignition Coil</t>
  </si>
  <si>
    <t>Length, mm &gt;&gt; 108 | Width, mm &gt;&gt; 125 | Height, mm &gt;&gt; 108 | Weight, kg &gt;&gt; 0,53 | , terminal &gt;&gt; 2 | Number of Inlets / Outlets,  &gt;&gt; 1</t>
  </si>
  <si>
    <t>Manufacturer Restriction &gt;&gt; TEC | Quantity &gt;&gt; 1</t>
  </si>
  <si>
    <t>HONDA &gt;&gt; 30500PM5A03 | HONDA &gt;&gt; 30500PM5A02 | BERU &gt;&gt; ZS276 | BERU &gt;&gt; 0040100276 | LUCAS CAV &gt;&gt; DLB705 | VEMO &gt;&gt; V26700001 | EPS &gt;&gt; 1970213 | KW &gt;&gt; 470213 | BOUGICORD &gt;&gt; 155086 | FACET &gt;&gt; 96113 | INTERMOTOR &gt;&gt; 12618 | ERA &gt;&gt; 880052 | BLUE PRINT &gt;&gt; ADH21477 | TESLA &gt;&gt; CL500 | EURO CAR PARTS &gt;&gt; 413600011 | FUELPARTS &gt;&gt; CU1064 | C.I. &gt;&gt; XIC8116 | UNIPART &gt;&gt; GCL161</t>
  </si>
  <si>
    <t>BERU</t>
  </si>
  <si>
    <t xml:space="preserve"> &gt;&gt; for vehicles with distributor |  &gt;&gt; Coupling Type DIN</t>
  </si>
  <si>
    <t>HONDA &gt;&gt; 30500PM5A02 | HONDA &gt;&gt; 30500PM5A03 | ROVER &gt;&gt; GCL161 | NGK &gt;&gt; U1016 | NGK &gt;&gt; 48098 | BREMI &gt;&gt; 11886 | BBT &gt;&gt; IC16100 | FACET &gt;&gt; 470213 | FACET &gt;&gt; 96113 | FACET &gt;&gt; 1970213 | HITACHI &gt;&gt; 138814 | INTERMOTOR &gt;&gt; 12618 | ERA &gt;&gt; 880052</t>
  </si>
  <si>
    <t>NGK</t>
  </si>
  <si>
    <t>Number of Inlets / Outlets,  &gt;&gt; 1 | , terminal &gt;&gt; 2 | Port Type,  &gt;&gt; DIN |  &gt;&gt; for vehicles with distributor</t>
  </si>
  <si>
    <t>Engine Code &gt;&gt; D16A3 | Manufacturer Restriction &gt;&gt; TEC | Required quantity &gt;&gt; 1</t>
  </si>
  <si>
    <t>HONDA &gt;&gt; 30500PM5A03 | HONDA &gt;&gt; 30500PM5A02 | MG &gt;&gt; GCL161 | ROVER &gt;&gt; GCL161 | BERU &gt;&gt; 0040100276 | BERU &gt;&gt; ZS276 | BREMI &gt;&gt; 11886 | BOUGICORD &gt;&gt; 155086 | FACET &gt;&gt; EPS1970213 | FACET &gt;&gt; 96113 | FACET &gt;&gt; KW470213 | ERA &gt;&gt; 880052 | MEAT &amp; DORIA &gt;&gt; 10431 | SIDAT &gt;&gt; 8530100 | HOFFER &gt;&gt; 8010431 | TESLA &gt;&gt; CL500 | ANGLI &gt;&gt; 15301 | BRECAV &gt;&gt; 222004</t>
  </si>
  <si>
    <t>HONDA &gt;&gt; 30500PM5A02 | HONDA &gt;&gt; 30500PM5A03 | BERU &gt;&gt; 0040100276 | BERU &gt;&gt; ZS276 | LUCAS CAV &gt;&gt; DLB705 | VEMO &gt;&gt; V26700001 | EPS &gt;&gt; 1970213 | KW &gt;&gt; 470213 | BOUGICORD &gt;&gt; 155086 | FACET &gt;&gt; 96113 | INTERMOTOR &gt;&gt; 12618 | ERA &gt;&gt; 880052 | BLUE PRINT &gt;&gt; ADH21477 | TESLA &gt;&gt; CL500 | FUELPARTS &gt;&gt; CU1064 | C.I. &gt;&gt; XIC8116 | UNIPART &gt;&gt; GCL161</t>
  </si>
  <si>
    <t>FACET</t>
  </si>
  <si>
    <t>Engine Code &gt;&gt; D16A3 | to construction year &gt;&gt; 12/1987</t>
  </si>
  <si>
    <t>HONDA &gt;&gt; 30500PE0006 | HONDA &gt;&gt; 30500PH1026 | QUINTON HAZELL &gt;&gt; XIC8160 | EPS &gt;&gt; 1970212 | KW &gt;&gt; 470212</t>
  </si>
  <si>
    <t>Engine Code &gt;&gt; D16A3 | from construction year &gt;&gt; 01/1988</t>
  </si>
  <si>
    <t>HONDA &gt;&gt; 30500PM5A03 | HONDA &gt;&gt; 30500PM5A02 | ROVER &gt;&gt; GCL161 | BERU &gt;&gt; 0040100276 | BERU &gt;&gt; ZS276 | LUCAS ELECTRICAL &gt;&gt; DLB705 | BREMI &gt;&gt; 11886 | QUINTON HAZELL &gt;&gt; XIC8116 | EPS &gt;&gt; 1970213 | KW &gt;&gt; 470213 | BOUGICORD &gt;&gt; 155086 | UNIPART &gt;&gt; GCL161 | INTERMOTOR &gt;&gt; 12618 | MEAT &amp; DORIA &gt;&gt; 10431 | ANGLI &gt;&gt; 15301</t>
  </si>
  <si>
    <t>VEMO</t>
  </si>
  <si>
    <t>Number of ports,  &gt;&gt; 2</t>
  </si>
  <si>
    <t>HONDA &gt;&gt; 30500PM5A02 | HONDA &gt;&gt; 30500PM5A03 | ROVER &gt;&gt; GCL161 | BERU &gt;&gt; ZS276 | BERU &gt;&gt; 0040100276 | BREMI &gt;&gt; 11886 | QUINTON HAZELL &gt;&gt; XIC8116 | MAGNETI MARELLI &gt;&gt; 060717024012 | HAVAM &gt;&gt; 1970213 | VEMO &gt;&gt; 26700001 | BBT &gt;&gt; IC16100 | BOUGICORD &gt;&gt; 155086 | FACET &gt;&gt; 96113 | HITACHI &gt;&gt; 138814 | ERA &gt;&gt; 880052 | MEAT &amp; DORIA &gt;&gt; 10431 | STANDARD &gt;&gt; IIS163 | STANDARD &gt;&gt; 12618 | KAGER &gt;&gt; 600046 | SIDAT &gt;&gt; 8530100 | HOFFER &gt;&gt; 8010431 | TESLA &gt;&gt; CL500 | ACI - AVESA &gt;&gt; ABE188 | ANGLI &gt;&gt; 15301 | JANMOR &gt;&gt; JM5176 | FISPA &gt;&gt; 8530100</t>
  </si>
  <si>
    <t>BOUGICORD</t>
  </si>
  <si>
    <t>HONDA &gt;&gt; 30500PE0006 | HONDA &gt;&gt; 30500PH1026 | FACET &gt;&gt; 96112 | ERA &gt;&gt; 880228 | JANMOR &gt;&gt; JM5191</t>
  </si>
  <si>
    <t>ERA</t>
  </si>
  <si>
    <t>for Art.No.,  &gt;&gt; 880052 | Number of ports,  &gt;&gt; 2 | Weight, kg &gt;&gt; 0,482</t>
  </si>
  <si>
    <t>CHRYSLER &gt;&gt; DLB705 | HONDA &gt;&gt; 30500PM5A02 | HONDA &gt;&gt; 30500PM5A03 | ROVER &gt;&gt; GCL161 | BERU &gt;&gt; ZS276 | BERU &gt;&gt; 0040100276 | NGK &gt;&gt; 48098 | BREMI &gt;&gt; 11886 | VEMO &gt;&gt; V26700001 | BOUGICORD &gt;&gt; 155086 | HUECO &gt;&gt; 138814 | FACET &gt;&gt; 96113 | FACET &gt;&gt; EPS1970213 | HITACHI &gt;&gt; 138814 | ERA &gt;&gt; 880052HQ | ERA &gt;&gt; 880052B | ERA &gt;&gt; 880052A | ERA &gt;&gt; TC05A | ERA &gt;&gt; HEC1145 | ERA &gt;&gt; 880052 | ERA &gt;&gt; A88052 | MEAT &amp; DORIA &gt;&gt; 10431 | SIDAT &gt;&gt; 8530100 | BLUE PRINT &gt;&gt; ADH21477 | TESLA &gt;&gt; CL500 | NPS &gt;&gt; H536A06 | LUCAS &gt;&gt; DLB705</t>
  </si>
  <si>
    <t>HONDA &gt;&gt; 30500PM5A02 | HONDA &gt;&gt; 30500PM5A03 | BERU &gt;&gt; 0040100276 | BERU &gt;&gt; ZS276 | LUCAS CAV &gt;&gt; DLB705 | VEMO &gt;&gt; V26700001 | EPS &gt;&gt; 1970213 | KW &gt;&gt; 470213 | BOUGICORD &gt;&gt; 155086 | FACET &gt;&gt; 96113 | INTERMOTOR &gt;&gt; 12618 | ERA &gt;&gt; 880052 | BLUE PRINT &gt;&gt; ADH21477 | TESLA &gt;&gt; CL500 | EURO CAR PARTS &gt;&gt; 413600011 | FUELPARTS &gt;&gt; CU1064 | C.I. &gt;&gt; XIC8116 | UNIPART &gt;&gt; GCL161</t>
  </si>
  <si>
    <t>HONDA &gt;&gt; 30500PM5A02 | HONDA &gt;&gt; 30500PM5A03 | ROVER &gt;&gt; GCL161 | BERU &gt;&gt; ZS276 | FACET &gt;&gt; 96113 | ERA &gt;&gt; A880052</t>
  </si>
  <si>
    <t>TESLA</t>
  </si>
  <si>
    <t>HONDA &gt;&gt; 30500PM5A02 | HONDA &gt;&gt; 30500PM5A03 | ROVER &gt;&gt; GCL161 | BERU &gt;&gt; 0040100276 | NGK &gt;&gt; 48098 | BREMI &gt;&gt; 11886 | BBT &gt;&gt; IC16100 | BOUGICORD &gt;&gt; 155086 | HUECO &gt;&gt; 138814 | FACET &gt;&gt; 96113 | ERA &gt;&gt; 880052 | STANDARD &gt;&gt; 12618</t>
  </si>
  <si>
    <t>Weight, kg &gt;&gt; 0,506</t>
  </si>
  <si>
    <t>HONDA &gt;&gt; 30500PE0006 | HONDA &gt;&gt; 30500PH1026 | ERA &gt;&gt; 880228</t>
  </si>
  <si>
    <t>HITACHI</t>
  </si>
  <si>
    <t>Colour Coding,  &gt;&gt; White |  &gt;&gt; 5 Years Guarantee</t>
  </si>
  <si>
    <t>HONDA &gt;&gt; 30500PM5A02 | HONDA &gt;&gt; 30500PM5A03 | ROVER &gt;&gt; GCL161 | BERU &gt;&gt; 0040100276 | BERU &gt;&gt; 40100276 | BERU &gt;&gt; ZS276 | NGK &gt;&gt; U1016 | NGK &gt;&gt; 48098 | BREMI &gt;&gt; 11886 | QUINTON HAZELL &gt;&gt; XIC8116 | DELPHI &gt;&gt; DLB705 | JAPANPARTS &gt;&gt; BO402 | VEMO &gt;&gt; V26700001 | BBT &gt;&gt; IC16100 | BOUGICORD &gt;&gt; 155086 | FACET &gt;&gt; 96113 | ERA &gt;&gt; 880052 | ASHIKA &gt;&gt; 7804402 | MEAT &amp; DORIA &gt;&gt; 10431 | STANDARD &gt;&gt; IIS163 | STANDARD &gt;&gt; CU1064 | STANDARD &gt;&gt; 12618 | KAGER &gt;&gt; 600046 | SIDAT &gt;&gt; 8530100 | HOFFER &gt;&gt; 8010431 | BLUE PRINT &gt;&gt; ADH21477 | TESLA &gt;&gt; CL500 | JANMOR &gt;&gt; JM5176 | NPS &gt;&gt; H536A06 | FISPA &gt;&gt; 8530100 | ASHUKI &gt;&gt; H59501 | JAPKO &gt;&gt; 78402 | MOBILETRON &gt;&gt; CH01</t>
  </si>
  <si>
    <t>WAIglobal</t>
  </si>
  <si>
    <t>HONDA &gt;&gt; 30500PM5A04 | HONDA &gt;&gt; 30500PM5A03 | HONDA &gt;&gt; 30500PM5A02 | BERU &gt;&gt; 0040100276 | BERU &gt;&gt; ZS276 | BOSCH &gt;&gt; 261 | DELPHI &gt;&gt; GN10065 | AIRTEX &gt;&gt; 5C1002 | VEMO &gt;&gt; V26700001 | HUECO &gt;&gt; 138814 | FACET &gt;&gt; 96113 | ECHLIN INTERNATIONAL &gt;&gt; IC156</t>
  </si>
  <si>
    <t>Engine Code &gt;&gt; D16A3 | to construction year &gt;&gt; 12/1987 | Version &gt;&gt; Hitachi</t>
  </si>
  <si>
    <t>HONDA &gt;&gt; 30103PA1733 | HONDA &gt;&gt; 30103PA1732 | HONDA &gt;&gt; 30103PE9006 | HONDA &gt;&gt; 30103PC3822 | HONDA &gt;&gt; 30103PAI732 | ROVER &gt;&gt; GRA2245 | LUCAS ELECTRICAL &gt;&gt; DRJ107 | BOSCH &gt;&gt; 1987234042 | BREMI &gt;&gt; 9506 | EPS &gt;&gt; 1422056 | KW &gt;&gt; 922056 | UNIPART &gt;&gt; GRA2134 | UNIPART &gt;&gt; GRA134 | UNIPART &gt;&gt; GRA2245 | UNIPART &gt;&gt; GRA245 | INTERMOTOR &gt;&gt; 48190 | ANGLI &gt;&gt; 3303</t>
  </si>
  <si>
    <t>Engine Code &gt;&gt; D16A3 | to construction year &gt;&gt; 12/1988 | from construction year &gt;&gt; 01/1988 | Version &gt;&gt; Hitachi</t>
  </si>
  <si>
    <t>HONDA &gt;&gt; 30103PM5A04 | HONDA &gt;&gt; 30103PR3006 | ROVER &gt;&gt; GRA2287 | BERU &gt;&gt; 300925285000 | BERU &gt;&gt; NVL156 | BERU &gt;&gt; 0300920156 | LUCAS ELECTRICAL &gt;&gt; DRJ447 | BREMI &gt;&gt; 9513 | EPS &gt;&gt; 1422082 | KW &gt;&gt; 922082 | INTERMOTOR &gt;&gt; 48191 | ANGLI &gt;&gt; 3308</t>
  </si>
  <si>
    <t>Engine Code &gt;&gt; D16A3 | from construction year &gt;&gt; 01/1989 | Version &gt;&gt; Hitachi</t>
  </si>
  <si>
    <t>HONDA &gt;&gt; 30103PM5A03 | HONDA &gt;&gt; 30103PM5A05 | HONDA &gt;&gt; 30103PR3016 | ROVER &gt;&gt; GRA2323 | ROVER &gt;&gt; GRA2307 | LUCAS ELECTRICAL &gt;&gt; DRB901 | BREMI &gt;&gt; 7503 | QUINTON HAZELL &gt;&gt; XR271 | EPS &gt;&gt; 1422091 | KW &gt;&gt; 922091 | UNIPART &gt;&gt; GRA2307 | INTERMOTOR &gt;&gt; 49214</t>
  </si>
  <si>
    <t>for manufacturer,  &gt;&gt; HONDA |  &gt;&gt; no interference suppression</t>
  </si>
  <si>
    <t>Engine Code &gt;&gt; D16A3 | from construction year &gt;&gt; 01/1988 | to construction year &gt;&gt; 12/1988 | Manufacturer Restriction &gt;&gt; HITACHI</t>
  </si>
  <si>
    <t>HONDA &gt;&gt; 30103PM5A04 | HONDA &gt;&gt; 30103PR3006 | ROVER &gt;&gt; GRA2287 | BERU &gt;&gt; 0300920156 | BREMI &gt;&gt; 9513 | QUINTON HAZELL &gt;&gt; XR243 | FACET &gt;&gt; 37982 | STANDARD &gt;&gt; 48191 | STANDARD &gt;&gt; IRT083</t>
  </si>
  <si>
    <t>Engine Code &gt;&gt; D16A3 | from construction year &gt;&gt; 01/1989 | Manufacturer Restriction &gt;&gt; HITACHI</t>
  </si>
  <si>
    <t>HONDA &gt;&gt; 30103PR3016 | HONDA &gt;&gt; 30103PM5A05 | HONDA &gt;&gt; 30103PM5A03 | ROVER &gt;&gt; GRA2323 | ROVER &gt;&gt; GRA2307 | BREMI &gt;&gt; 7503 | QUINTON HAZELL &gt;&gt; XR271 | FACET &gt;&gt; 37991 | NIPPARTS &gt;&gt; J5334010 | STANDARD &gt;&gt; 49214 | STANDARD &gt;&gt; IRT077</t>
  </si>
  <si>
    <t>ANGLI</t>
  </si>
  <si>
    <t>for manufacturer,  &gt;&gt; HITACHI |  &gt;&gt; Epoxy Resin |  &gt;&gt; no interference suppression</t>
  </si>
  <si>
    <t>HONDA &gt;&gt; 30103PA1732 | HONDA &gt;&gt; 30103PA1733 | HONDA &gt;&gt; 30103PE9006 | HONDA &gt;&gt; 30103PAI732 | HONDA &gt;&gt; 30103PC3822 | ROVER &gt;&gt; GRA2245 | BERU &gt;&gt; NVL116 | BOSCH &gt;&gt; 1987234042 | BREMI &gt;&gt; 9507 | BREMI &gt;&gt; 9506 | QUINTON HAZELL &gt;&gt; XR95 | UNIPART &gt;&gt; GRA2134 | UNIPART &gt;&gt; GRA134 | UNIPART &gt;&gt; GRA2245 | UNIPART &gt;&gt; GRA245 | FACET &gt;&gt; 37956 | NIPPARTS &gt;&gt; J5334000 | STANDARD &gt;&gt; 48190 | H&amp;R &gt;&gt; J5334000 | BLUE PRINT &gt;&gt; ADH21431 | NPS &gt;&gt; H533A00 | ASHUKI &gt;&gt; H14202 | LUCAS &gt;&gt; DRJ107</t>
  </si>
  <si>
    <t>for manufacturer,  &gt;&gt; HITACHI |  &gt;&gt; PBT |  &gt;&gt; no interference suppression</t>
  </si>
  <si>
    <t>HONDA &gt;&gt; 30103PR3006 | HONDA &gt;&gt; 30103PM5A04 | ROVER &gt;&gt; GRA2287 | BERU &gt;&gt; NVL156 | BOSCH &gt;&gt; 1987234063 | BREMI &gt;&gt; 9513 | QUINTON HAZELL &gt;&gt; XR243 | JAPANPARTS &gt;&gt; SR404 | VEMO &gt;&gt; V26700008 | FACET &gt;&gt; 37982 | ASHIKA &gt;&gt; 9704404 | STANDARD &gt;&gt; 48191 | H&amp;R &gt;&gt; J5334010 | BLUE PRINT &gt;&gt; ADH21435 | NPS &gt;&gt; H533A04 | ASHUKI &gt;&gt; 15990104 | JAPKO &gt;&gt; 97404 | MDR &gt;&gt; MRO9404</t>
  </si>
  <si>
    <t>Engine Code &gt;&gt; D16A3 | to construction year &gt;&gt; 01/1988 | Version &gt;&gt; Hitachi</t>
  </si>
  <si>
    <t>HONDA &gt;&gt; 30102PM5A02 | HONDA &gt;&gt; 30102PM5A04 | HONDA &gt;&gt; 30102PM5A05 | HONDA &gt;&gt; 30102PR4A02 | HONDA &gt;&gt; 30102PR3006 | HONDA &gt;&gt; 30102PR3026 | HONDA &gt;&gt; 30102PM7006 | HONDA &gt;&gt; 30102PM5A03 | HONDA &gt;&gt; 30102PR3003 | HONDA &gt;&gt; 30102PM7036 | HONDA &gt;&gt; 30102PM7016 | ROVER &gt;&gt; NJD10006 | ROVER &gt;&gt; NJD10008 | ROVER &gt;&gt; GDC347 | ROVER &gt;&gt; GDC346 | ROVER &gt;&gt; NJD10009 | BERU &gt;&gt; 330924417000 | BERU &gt;&gt; 0330920400 | BERU &gt;&gt; VK500 | LUCAS ELECTRICAL &gt;&gt; DDJ491 | BREMI &gt;&gt; 8521 | BREMI &gt;&gt; 8520 | BREMI &gt;&gt; 6515 | BREMI &gt;&gt; 6514 | BREMI &gt;&gt; 6510 | QUINTON HAZELL &gt;&gt; XD300 | QUINTON HAZELL &gt;&gt; XD269 | QUINTON HAZELL &gt;&gt; XD283 | EPS &gt;&gt; 1322069 | KW &gt;&gt; 822069 | UNIPART &gt;&gt; GDC381 | UNIPART &gt;&gt; GDC380 | UNIPART &gt;&gt; GDC379 | INTERMOTOR &gt;&gt; 45576 | INTERMOTOR &gt;&gt; 45575 | ANGLI &gt;&gt; 2308</t>
  </si>
  <si>
    <t>Engine Code &gt;&gt; D16A3 | from construction year &gt;&gt; 02/1988 | Version &gt;&gt; Hitachi | Quantity Unit &gt;&gt; Kit</t>
  </si>
  <si>
    <t>HONDA &gt;&gt; 06303PR3000 | HONDA &gt;&gt; 30102PM7026 | HONDA &gt;&gt; 30102PM7305 | HONDA &gt;&gt; 30102PM5305 | HONDA &gt;&gt; 30102PM5306 | HONDA &gt;&gt; 30102PM7306 | HONDA &gt;&gt; 30102PR3016 | ROVER &gt;&gt; GDC404 | ROVER &gt;&gt; GDC381 | ROVER &gt;&gt; GDC403 | ROVER &gt;&gt; GDC380 | EPS &gt;&gt; 1322085 | KW &gt;&gt; 822085 | ANGLI &gt;&gt; 2317001</t>
  </si>
  <si>
    <t>Engine Code &gt;&gt; D16A3 | to construction year &gt;&gt; 01/1988 | Manufacturer Restriction &gt;&gt; HITACHI</t>
  </si>
  <si>
    <t>HONDA &gt;&gt; 06303PR4000 | HONDA &gt;&gt; 30102PM5A05 | HONDA &gt;&gt; 30102PM7016 | HONDA &gt;&gt; 30102PM7036 | HONDA &gt;&gt; 30102PM7006 | HONDA &gt;&gt; 30102PR3003 | HONDA &gt;&gt; 30102PM5A03 | HONDA &gt;&gt; 30102PM5A04 | HONDA &gt;&gt; 30102PR3006 | HONDA &gt;&gt; 30102PM5A02 | HONDA &gt;&gt; 30102PR4A02 | HONDA &gt;&gt; 30102PR3026 | ROVER &gt;&gt; GDC347 | ROVER &gt;&gt; GDC346 | ROVER &gt;&gt; NJD10009 | ROVER &gt;&gt; NJD10006 | ROVER &gt;&gt; NJD10008 | BERU &gt;&gt; 0330920400 | LUCAS ELECTRICAL &gt;&gt; DDJ491 | BOSCH &gt;&gt; 1987233125 | BREMI &gt;&gt; 6510 | HERTH+BUSS JAKOPARTS &gt;&gt; J5324010 | QUINTON HAZELL &gt;&gt; XD269 | JAPANPARTS &gt;&gt; CA410 | HAVAM &gt;&gt; 1322069 | VEMO &gt;&gt; 26700007 | FACET &gt;&gt; 27969 | ASHIKA &gt;&gt; 12104410 | NIPPARTS &gt;&gt; J5324010 | STANDARD &gt;&gt; IDC063 | STANDARD &gt;&gt; 45575 | NPS &gt;&gt; H532A22 | ASHUKI &gt;&gt; 15960104 | LUCAS &gt;&gt; DDJ491</t>
  </si>
  <si>
    <t>Number of Cylinders,  &gt;&gt; 4</t>
  </si>
  <si>
    <t>Engine Code &gt;&gt; D16A3 | from construction year &gt;&gt; 02/1988 | Manufacturer Restriction &gt;&gt; HITACHI</t>
  </si>
  <si>
    <t>HONDA &gt;&gt; 06303PR3000 | HONDA &gt;&gt; 30102PM7026 | HONDA &gt;&gt; 30102PM7305 | HONDA &gt;&gt; 30102PM5305 | HONDA &gt;&gt; 30102PM5306 | HONDA &gt;&gt; 30102PR3016 | ROVER &gt;&gt; GDC403 | ROVER &gt;&gt; GDC404 | ROVER &gt;&gt; GDC381 | ROVER &gt;&gt; GDC380 | BOSCH &gt;&gt; 1987233125 | FACET &gt;&gt; 27985 | NIPPARTS &gt;&gt; J5324017 | STANDARD &gt;&gt; 46893</t>
  </si>
  <si>
    <t>for manufacturer,  &gt;&gt; HITACHI |  &gt;&gt; Coupling Type DIN |  &gt;&gt; PBT | Number of Cylinders,  &gt;&gt; 4 |  &gt;&gt; Bolted</t>
  </si>
  <si>
    <t>HONDA &gt;&gt; 30102PM5A05 | HONDA &gt;&gt; 30102PM5A03 | HONDA &gt;&gt; 30102PM5A04 | HONDA &gt;&gt; 30102PR4A02 | HONDA &gt;&gt; 30102PR3026 | HONDA &gt;&gt; 30102PR3003 | HONDA &gt;&gt; 30102PR3006 | HONDA &gt;&gt; 30102PM7006 | HONDA &gt;&gt; 30102PM5A02 | HONDA &gt;&gt; 30102PM7036 | HONDA &gt;&gt; 30102PM7016 | ROVER &gt;&gt; NJD10009 | ROVER &gt;&gt; NJD10008 | ROVER &gt;&gt; NJD10006 | ROVER &gt;&gt; GDC347 | ROVER &gt;&gt; GDC346 | BERU &gt;&gt; VK500 | BREMI &gt;&gt; 6510 | QUINTON HAZELL &gt;&gt; XD300 | JAPANPARTS &gt;&gt; CA410 | VEMO &gt;&gt; V26700007 | FACET &gt;&gt; 27969 | ASHIKA &gt;&gt; 12104410 | NIPPARTS &gt;&gt; J5324010 | STANDARD &gt;&gt; 45575 | H&amp;R &gt;&gt; J5324010 | BLUE PRINT &gt;&gt; ADH214214 | ASHUKI &gt;&gt; 15967104 | JAPKO &gt;&gt; 121410 | UNIPART &gt;&gt; GDC381 | UNIPART &gt;&gt; GDC380 | UNIPART &gt;&gt; GDC379 | LUCAS &gt;&gt; DDJ491</t>
  </si>
  <si>
    <t xml:space="preserve">for manufacturer,  &gt;&gt; HITACHI |  &gt;&gt; PBT |  &gt;&gt; Coupling Type DIN | Number of Cylinders,  &gt;&gt; 4 |  &gt;&gt; Bolted | Full Set,  &gt;&gt; </t>
  </si>
  <si>
    <t>HONDA &gt;&gt; 06303PR3000 | HONDA &gt;&gt; 30102PM5305 | HONDA &gt;&gt; 30102PM7306 | HONDA &gt;&gt; 30102PM7305 | HONDA &gt;&gt; 30102PM5306 | HONDA &gt;&gt; 30102PM7026 | HONDA &gt;&gt; 30102PR3016 | ROVER &gt;&gt; GDC404 | ROVER &gt;&gt; GDC403 | ROVER &gt;&gt; GDC381 | ROVER &gt;&gt; GDC380 | FACET &gt;&gt; 27985</t>
  </si>
  <si>
    <t>Thickness/Strength, mm &gt;&gt; 9 |  &gt;&gt; NBR (nitrile butadiene rubber) | Inner Diameter, mm &gt;&gt; 27 | Outer Diameter, mm &gt;&gt; 43 | Radial Shaft Seal Design,  &gt;&gt; 827S LD |  &gt;&gt; Anti-clockwise rotation</t>
  </si>
  <si>
    <t>AUSTIN &gt;&gt; BNP3418 | AUSTIN &gt;&gt; BNP4653 | HONDA &gt;&gt; 91203PA5004 | HONDA &gt;&gt; 91203PG6003 | HONDA &gt;&gt; 91203611004 | HONDA &gt;&gt; 91203611003 | REINZ &gt;&gt; 815321900 | ELRING &gt;&gt; 591777 | GLASER &gt;&gt; P7760001 | CORTECO &gt;&gt; 19016482B | FAI AutoParts &gt;&gt; OS254 | BGA &gt;&gt; OS6300</t>
  </si>
  <si>
    <t>Width, mm &gt;&gt; 8 | Inner Diameter, mm &gt;&gt; 29 | Outer Diameter, mm &gt;&gt; 45</t>
  </si>
  <si>
    <t>HONDA &gt;&gt; 806730110 | HONDA &gt;&gt; 91213PC6000 | HONDA &gt;&gt; 91213PC6003 | HONDA &gt;&gt; 91213PH1004 | HONDA &gt;&gt; 91213PH1013 | HONDA &gt;&gt; 91213PD2004 | HONDA &gt;&gt; 91213PE1722 | HONDA &gt;&gt; 91213PH1003 | HONDA &gt;&gt; 91213PE1721 | REINZ &gt;&gt; 815322400 | ELRING &gt;&gt; 012160 | PAYEN &gt;&gt; NJ313 | AJUSA &gt;&gt; 15007500 | CORTECO &gt;&gt; 19016486B | FAI AutoParts &gt;&gt; OS313</t>
  </si>
  <si>
    <t>Inner Diameter, mm &gt;&gt; 27 | Outer Diameter, mm &gt;&gt; 43 | Width, mm &gt;&gt; 9 | Radial Shaft Seal Design,  &gt;&gt; AW |  &gt;&gt; Left-hand Twist |  &gt;&gt; NBR (nitrile butadiene rubber)</t>
  </si>
  <si>
    <t>HONDA &gt;&gt; 91203PFB003 | HONDA &gt;&gt; 91203611004 | HONDA &gt;&gt; 91203PA5004 | HONDA &gt;&gt; 91203PG6003 | HONDA &gt;&gt; 91203611003 | HONDA &gt;&gt; 91203PR4004 | HONDA &gt;&gt; 91203PG6013 | ROVER &gt;&gt; FDU2734 | ROVER &gt;&gt; LUC10009 | REINZ &gt;&gt; 815321900 | PAYEN &gt;&gt; NJ254 | AJUSA &gt;&gt; 15005500 | CORTECO &gt;&gt; 19016482B | CORTECO &gt;&gt; 19016482</t>
  </si>
  <si>
    <t>Switch pressure from, bar &gt;&gt; 0,2 | to switch pressure, bar &gt;&gt; 0,4 | Housing Colour,  &gt;&gt; Black</t>
  </si>
  <si>
    <t>DAIHATSU &gt;&gt; 8353014030000 | DAIHATSU &gt;&gt; 8353087705 | DAIHATSU &gt;&gt; 8353087705000 | FORD &gt;&gt; 3024539 | FORD &gt;&gt; 3600688 | FORD &gt;&gt; E9BZ9278A | HONDA &gt;&gt; 37240634671 | MAZDA &gt;&gt; B36618501 | MAZDA &gt;&gt; 134518501 | MAZDA &gt;&gt; B36718501 | MITSUBISHI &gt;&gt; 9475021010 | MITSUBISHI &gt;&gt; 9475021020 | MITSUBISHI &gt;&gt; 9475021030 | MITSUBISHI &gt;&gt; MD021567 | MITSUBISHI &gt;&gt; MD017430 | MITSUBISHI &gt;&gt; MD021566 | MITSUBISHI &gt;&gt; MC840219 | MITSUBISHI &gt;&gt; MD001483 | OPEL &gt;&gt; 4708881 | SUZUKI &gt;&gt; 3782082002000 | SUZUKI &gt;&gt; 3782082001000 | SUZUKI &gt;&gt; 3782080G01000 | SUZUKI &gt;&gt; 3782082000 | SUZUKI &gt;&gt; 3782079600 | SUZUKI &gt;&gt; 3782073000 | TOYOTA &gt;&gt; 8353010010 | TOYOTA &gt;&gt; 8353030030 | TOYOTA &gt;&gt; 8353028030 | TOYOTA &gt;&gt; 8353014030 | TOYOTA &gt;&gt; 8353014010 | TOYOTA &gt;&gt; 8353012020 | TOYOTA &gt;&gt; 8353012010 | TOYOTA &gt;&gt; 8353010020 | CHEVROLET &gt;&gt; 96408134 | HYUNDAI &gt;&gt; 9475042000 | HYUNDAI &gt;&gt; 9475021030 | HYUNDAI &gt;&gt; 9475021020 | HYUNDAI &gt;&gt; 9475021010 | HYUNDAI &gt;&gt; 9475011110 | HYUNDAI &gt;&gt; 9475021000 | HYUNDAI &gt;&gt; 9475011102 | HYUNDAI &gt;&gt; 9475011010 | HYUNDAI &gt;&gt; 9461073011 | KIA &gt;&gt; 9475042000 | KIA &gt;&gt; 9475021030 | KIA &gt;&gt; 9461073011 | DAEWOO &gt;&gt; 96408134 | DAEWOO &gt;&gt; 37830A82010000 | VAG &gt;&gt; J8353014030 | GENERAL MOTORS &gt;&gt; 96053621 | GENERAL MOTORS &gt;&gt; 96052138 | GENERAL MOTORS &gt;&gt; 93193712 | GENERAL MOTORS &gt;&gt; 91112377 | HELLA &gt;&gt; 6ZF007392001 | LUCAS ELECTRICAL &gt;&gt; SOB807 | BOSCH &gt;&gt; 0986345017 | BOSCH &gt;&gt; 0986345008 | BOSCH &gt;&gt; 0986345001 | BREMI &gt;&gt; 1075547 | DENSO &gt;&gt; 0718000620 | DENSO &gt;&gt; 0718000320 | DENSO &gt;&gt; 0718000410 | EPS &gt;&gt; 1800017 | KW &gt;&gt; 500017 | UNIPART &gt;&gt; GPS147 | INTERMOTOR &gt;&gt; 51110 | INTERMOTOR &gt;&gt; 50810 | INTERMOTOR &gt;&gt; 50740 | CALORSTAT by Vernet &gt;&gt; 3539 | FAE &gt;&gt; 11640 | FAE &gt;&gt; 11610 | FAE &gt;&gt; 1161 | ANGLI &gt;&gt; 1456</t>
  </si>
  <si>
    <t>HONDA &gt;&gt; 37240PD2003 | HONDA &gt;&gt; 37240PT0004 | HONDA &gt;&gt; 37240PT0014 | HONDA &gt;&gt; 37240PT0023 | HONDA &gt;&gt; 37240PD2004 | HONDA &gt;&gt; 37240PLZD00 | ISUZU &gt;&gt; 5862028310 | ISUZU &gt;&gt; 8941187550 | ISUZU &gt;&gt; 8943129400 | ISUZU &gt;&gt; 8980130140 | NISSAN &gt;&gt; 2524089910 | NISSAN &gt;&gt; 2524089902 | NISSAN &gt;&gt; 2524089901 | NISSAN &gt;&gt; 2524089900 | NISSAN &gt;&gt; 25240Y9700 | NISSAN &gt;&gt; 25240Y9501 | NISSAN &gt;&gt; 25240D9700 | OPEL &gt;&gt; 1238452 | OPEL &gt;&gt; 1252565 | OPEL &gt;&gt; 1252561 | RENAULT &gt;&gt; 7701052674 | ROVER &gt;&gt; GPS160 | ROVER &gt;&gt; GPS183 | ROVER &gt;&gt; GPS182 | ROVER &gt;&gt; GPS128 | SAAB &gt;&gt; 5951421 | GENERAL MOTORS &gt;&gt; 94312940 | GENERAL MOTORS &gt;&gt; 98013014 | HOLDEN &gt;&gt; 8943129400 | HOLDEN &gt;&gt; 2524089910 | HELLA &gt;&gt; 6ZF007391001 | HELLA &gt;&gt; 6ZL003259331 | LUCAS ELECTRICAL &gt;&gt; SOB804 | BOSCH &gt;&gt; 0986345009 | BOSCH &gt;&gt; 0986345003 | BREMI &gt;&gt; 1075540 | HERTH+BUSS ELPARTS &gt;&gt; J5611000 | HERTH+BUSS ELPARTS &gt;&gt; 70541075 | EPS &gt;&gt; 1800015 | KW &gt;&gt; 500015 | UNIPART &gt;&gt; GPS128 | MESSMER &gt;&gt; 111136 | INTERMOTOR &gt;&gt; 50700 | CALORSTAT by Vernet &gt;&gt; 3538 | FAE &gt;&gt; 12230 | FAE &gt;&gt; 1223 | ANGLI &gt;&gt; 1455</t>
  </si>
  <si>
    <t>DAIHATSU &gt;&gt; 8353014030000 | DAIHATSU &gt;&gt; 8353087705 | DAIHATSU &gt;&gt; 8353087705000 | FORD &gt;&gt; 3024539 | FORD &gt;&gt; 3600688 | FORD &gt;&gt; E9BZ9278A | HONDA &gt;&gt; 37240634671 | MAZDA &gt;&gt; 134518501 | MAZDA &gt;&gt; B36718501 | MAZDA &gt;&gt; B36618501 | MITSUBISHI &gt;&gt; 9475021020 | MITSUBISHI &gt;&gt; 9475021030 | MITSUBISHI &gt;&gt; 9475021010 | MITSUBISHI &gt;&gt; MD021567 | MITSUBISHI &gt;&gt; MC840219 | MITSUBISHI &gt;&gt; MD017430 | MITSUBISHI &gt;&gt; MD021566 | MITSUBISHI &gt;&gt; MD001483 | NISSAN &gt;&gt; 2524089911 | NISSAN &gt;&gt; 782000480 | OPEL &gt;&gt; 4708881 | SUBARU &gt;&gt; 429957000 | SUBARU &gt;&gt; 3782082001 | SUBARU &gt;&gt; 829956101 | SUBARU &gt;&gt; 829956100 | SUZUKI &gt;&gt; 3782082002000 | SUZUKI &gt;&gt; 3782082001000 | SUZUKI &gt;&gt; 3782082000 | SUZUKI &gt;&gt; 3782080G01000 | SUZUKI &gt;&gt; 3782079600 | SUZUKI &gt;&gt; 3782073000 | TOYOTA &gt;&gt; 8353028030 | TOYOTA &gt;&gt; 8353030030 | TOYOTA &gt;&gt; 8353014030 | TOYOTA &gt;&gt; 8353014010 | TOYOTA &gt;&gt; 8353012020 | TOYOTA &gt;&gt; 8353012010 | TOYOTA &gt;&gt; 8353010020 | TOYOTA &gt;&gt; 8353010010 | VW &gt;&gt; J8353014030 | CHEVROLET &gt;&gt; 96408134 | HYUNDAI &gt;&gt; 9475021030 | HYUNDAI &gt;&gt; 9475021020 | HYUNDAI &gt;&gt; 9475021010 | HYUNDAI &gt;&gt; 9475021000 | HYUNDAI &gt;&gt; 9475011110 | HYUNDAI &gt;&gt; 9475011010 | HYUNDAI &gt;&gt; 9475011102 | HYUNDAI &gt;&gt; 9461073011 | HYUNDAI &gt;&gt; 9475042000 | KIA &gt;&gt; 9461073011 | KIA &gt;&gt; 9475042000 | KIA &gt;&gt; 9475021030 | DAEWOO &gt;&gt; 37830A82010000 | DAEWOO &gt;&gt; 96408134 | GENERAL MOTORS &gt;&gt; 91112377 | GENERAL MOTORS &gt;&gt; 93193712 | GENERAL MOTORS &gt;&gt; 96053621 | GENERAL MOTORS &gt;&gt; 96052138 | HOLDEN &gt;&gt; 3782082001 | HELLA &gt;&gt; 6ZF007392001 | LUCAS ELECTRICAL &gt;&gt; SOB807 | BOSCH &gt;&gt; 0986345017 | BOSCH &gt;&gt; 0986345008 | BOSCH &gt;&gt; 0986345001 | BREMI &gt;&gt; 1075547 | DENSO &gt;&gt; 0718000620 | DENSO &gt;&gt; 0718000410 | DENSO &gt;&gt; 0718000320 | EPS &gt;&gt; 1800017 | KW &gt;&gt; 500017 | UNIPART &gt;&gt; GPS147 | INTERMOTOR &gt;&gt; 50740 | INTERMOTOR &gt;&gt; 51110 | INTERMOTOR &gt;&gt; 50810 | CALORSTAT by Vernet &gt;&gt; 3539 | FAE &gt;&gt; 11640 | FAE &gt;&gt; 11610 | FAE &gt;&gt; 1161 | ANGLI &gt;&gt; 1456</t>
  </si>
  <si>
    <t>Thread Size,  &gt;&gt; 1/8 GAS | Switch Pressure, bar &gt;&gt; 0,4</t>
  </si>
  <si>
    <t>CHRYSLER &gt;&gt; MD001482 | CHRYSLER &gt;&gt; MD001483 | CHRYSLER &gt;&gt; MD021566 | CHRYSLER &gt;&gt; MD021567 | FIAT &gt;&gt; 71742590 | FORD &gt;&gt; 3600688 | FORD &gt;&gt; E9BZ9278A | FORD &gt;&gt; F0BZ9278A | FORD &gt;&gt; F1CZ9278A | FORD &gt;&gt; 3024539 | FORD &gt;&gt; F4BZ9278A | FORD &gt;&gt; F52Z9278AA | HONDA &gt;&gt; 37240634305 | HONDA &gt;&gt; 37240657013 | HONDA &gt;&gt; 37240634671 | HONDA &gt;&gt; 37200590036 | HONDA &gt;&gt; 37240634071 | ISUZU &gt;&gt; 94841821 | MAZDA &gt;&gt; B36618501 | MAZDA &gt;&gt; B36718501 | MAZDA &gt;&gt; 134518501 | MAZDA &gt;&gt; JE4818501A | MAZDA &gt;&gt; FS1118501A | MITSUBISHI &gt;&gt; MD138993 | MITSUBISHI &gt;&gt; MD021567 | MITSUBISHI &gt;&gt; MD017430 | MITSUBISHI &gt;&gt; MD021566 | MITSUBISHI &gt;&gt; MD001481 | MITSUBISHI &gt;&gt; MD001483 | MITSUBISHI &gt;&gt; MD001482 | MITSUBISHI &gt;&gt; MC840119 | MITSUBISHI &gt;&gt; MC840219 | NISSAN &gt;&gt; 2524089911 | RENAULT &gt;&gt; 448414055 | SUBARU &gt;&gt; 829956100 | SUBARU &gt;&gt; 829956101 | SUBARU &gt;&gt; 25240KA080 | SUBARU &gt;&gt; 25240KA040 | SUBARU &gt;&gt; 25240KA020 | SUBARU &gt;&gt; 429957000 | SUZUKI &gt;&gt; 3782080G01000 | SUZUKI &gt;&gt; 3782080000 | SUZUKI &gt;&gt; 3782079600 | SUZUKI &gt;&gt; 3782073002 | SUZUKI &gt;&gt; 3782073000 | SUZUKI &gt;&gt; 37820A82000 | SUZUKI &gt;&gt; 3782082002000 | SUZUKI &gt;&gt; 3782082001 | SUZUKI &gt;&gt; 3782082000 | TOYOTA &gt;&gt; 8553002030 | TOYOTA &gt;&gt; 8353014040 | TOYOTA &gt;&gt; 8353030041 | TOYOTA &gt;&gt; 8353030080 | TOYOTA &gt;&gt; 8353060040 | TOYOTA &gt;&gt; 8353030043 | TOYOTA &gt;&gt; 8353014050 | TOYOTA &gt;&gt; 8353028030 | TOYOTA &gt;&gt; 8353030030 | TOYOTA &gt;&gt; 8353014020 | TOYOTA &gt;&gt; 8353014030 | TOYOTA &gt;&gt; 8353012040 | TOYOTA &gt;&gt; 8353014010 | TOYOTA &gt;&gt; 8353010010 | TOYOTA &gt;&gt; 8353012010 | TOYOTA &gt;&gt; 8353012020 | TOYOTA &gt;&gt; 8353010020 | HYUNDAI &gt;&gt; 9475021020 | HYUNDAI &gt;&gt; 9475021030 | HYUNDAI &gt;&gt; 9475021000 | HYUNDAI &gt;&gt; 9475021010 | HYUNDAI &gt;&gt; 9475011010 | HYUNDAI &gt;&gt; 9475011102 | KIA &gt;&gt; 9461073011 | KIA &gt;&gt; 0K90118501 | KIA &gt;&gt; 0K90018501C | KIA &gt;&gt; 0K71E18501 | DAEWOO &gt;&gt; 96408134 | VAG &gt;&gt; J8353014030 | GENERAL MOTORS &gt;&gt; 96053621 | GENERAL MOTORS &gt;&gt; 96052138 | GENERAL MOTORS &gt;&gt; 94846169 | GENERAL MOTORS &gt;&gt; 94841821 | GENERAL MOTORS &gt;&gt; 91112377 | HELLA &gt;&gt; 6ZL009600091 | HELLA &gt;&gt; 6ZF007394001 | HELLA &gt;&gt; 6ZF007392001 | BERU &gt;&gt; 0824331028 | BERU &gt;&gt; 0824331032 | BERU &gt;&gt; 0824331030 | BERU &gt;&gt; 0824331027 | BERU &gt;&gt; 0824331026 | BOSCH &gt;&gt; 0986345012 | BOSCH &gt;&gt; 0986345011 | BOSCH &gt;&gt; 0986345008 | BOSCH &gt;&gt; 0986345006 | BOSCH &gt;&gt; 0986345004 | BOSCH &gt;&gt; 0986345001 | BOSCH &gt;&gt; 0986345000 | BOSCH &gt;&gt; 0986345017 | HERTH+BUSS JAKOPARTS &gt;&gt; J5614000 | HERTH+BUSS JAKOPARTS &gt;&gt; J5614001 | HERTH+BUSS JAKOPARTS &gt;&gt; J5610500 | HERTH+BUSS JAKOPARTS &gt;&gt; J5610301 | QUINTON HAZELL &gt;&gt; XOPS47 | QUINTON HAZELL &gt;&gt; XOPS40 | QUINTON HAZELL &gt;&gt; XOPS28 | QUINTON HAZELL &gt;&gt; XOPS15 | HERTH+BUSS ELPARTS &gt;&gt; J5614001 | PEX &gt;&gt; 300035 | PEX &gt;&gt; 300017 | PEX &gt;&gt; 300014 | METZGER &gt;&gt; 0910011 | METZGER &gt;&gt; 0910008 | METZGER &gt;&gt; 0910012 | 4SEASONS &gt;&gt; 50810 | JAPANPARTS &gt;&gt; PO401 | JAPANPARTS &gt;&gt; PO400 | JAPANPARTS &gt;&gt; PO303 | JAPANPARTS &gt;&gt; PO209 | JAPANPARTS &gt;&gt; PO302 | HAVAM &gt;&gt; 1800035 | HAVAM &gt;&gt; 1800017 | HAVAM &gt;&gt; 1800014 | VEMO &gt;&gt; 32730001 | FACET &gt;&gt; 70035 | FACET &gt;&gt; 70017 | FACET &gt;&gt; 70014 | CALORSTAT by Vernet &gt;&gt; OS3577 | ERA &gt;&gt; 330567 | ERA &gt;&gt; 330015 | ERA &gt;&gt; 330009 | ERA &gt;&gt; 330006 | ASHIKA &gt;&gt; 1104401 | ASHIKA &gt;&gt; 1104400 | ASHIKA &gt;&gt; 1103303 | ASHIKA &gt;&gt; 1103302 | ASHIKA &gt;&gt; 1102209 | FAE &gt;&gt; 11610 | MEAT &amp; DORIA &gt;&gt; 72000 | NIPPARTS &gt;&gt; J5617000 | NIPPARTS &gt;&gt; J5614001 | NIPPARTS &gt;&gt; J5610501 | NIPPARTS &gt;&gt; J5610302 | NIPPARTS &gt;&gt; J5610301 | STANDARD &gt;&gt; SOP058 | STANDARD &gt;&gt; SOP044 | STANDARD &gt;&gt; SOP022 | STANDARD &gt;&gt; SOP004 | STANDARD &gt;&gt; 51110 | STANDARD &gt;&gt; 50820 | STANDARD &gt;&gt; 50810 | STANDARD &gt;&gt; 50750 | HOFFER &gt;&gt; 7532000 | NPS &gt;&gt; H561A01 | ASHUKI &gt;&gt; 16831004 | ASHUKI &gt;&gt; 16830007 | ASHUKI &gt;&gt; 16832030 | ASHUKI &gt;&gt; 16831050 | ASHUKI &gt;&gt; 16831030</t>
  </si>
  <si>
    <t>Thread Size,  &gt;&gt; 1/8 GA | Switch Pressure, bar &gt;&gt; 0,4 | Spanner size,  &gt;&gt; 24 | , terminal &gt;&gt; 1</t>
  </si>
  <si>
    <t>NISSAN &gt;&gt; 25240Y9501 | NISSAN &gt;&gt; 2524089901 | NISSAN &gt;&gt; 2524089910 | NISSAN &gt;&gt; 25240D9700 | NISSAN &gt;&gt; 2524089902 | NISSAN &gt;&gt; 25240Y9700 | NISSAN &gt;&gt; 2524089900 | OPEL &gt;&gt; 1252565 | OPEL &gt;&gt; 1252561 | OPEL &gt;&gt; 94312940 | OPEL &gt;&gt; 98013014 | RENAULT &gt;&gt; 7701052674 | ROVER &gt;&gt; GPS182 | ROVER &gt;&gt; GPS183 | ROVER &gt;&gt; GPS128 | ROVER &gt;&gt; GPS160 | GENERAL MOTORS &gt;&gt; 98013014 | GENERAL MOTORS &gt;&gt; 94312940 | HELLA &gt;&gt; 6ZF007391001 | BERU &gt;&gt; 0824331053 | BOSCH &gt;&gt; 0986345003 | BOSCH &gt;&gt; 0986345009 | HERTH+BUSS JAKOPARTS &gt;&gt; J5611000 | QUINTON HAZELL &gt;&gt; XOPS12 | HERTH+BUSS ELPARTS &gt;&gt; 70541075 | HERTH+BUSS ELPARTS &gt;&gt; J5611000 | PEX &gt;&gt; 300059 | PEX &gt;&gt; 300015 | METZGER &gt;&gt; 0910005 | HAVAM &gt;&gt; 1800015 | VEMO &gt;&gt; 40730004 | FACET &gt;&gt; 70015 | CALORSTAT by Vernet &gt;&gt; 3538 | ERA &gt;&gt; 330007 | FAE &gt;&gt; 12230 | MEAT &amp; DORIA &gt;&gt; 72002 | NIPPARTS &gt;&gt; J5611000 | JP GROUP &gt;&gt; 881252565 | STANDARD &gt;&gt; 50700 | STANDARD &gt;&gt; SOP025 | TOPRAN &gt;&gt; 202213 | AUTOMEGA &gt;&gt; 3012520565 | HOFFER &gt;&gt; 7532002 | NPS &gt;&gt; N561N00</t>
  </si>
  <si>
    <t>CALORSTAT by Vernet</t>
  </si>
  <si>
    <t>Switch Pressure, bar &gt;&gt; 0,3 | Thread Size,  &gt;&gt; 1/8x28 BSPT |  &gt;&gt; Opener</t>
  </si>
  <si>
    <t>HONDA &gt;&gt; 37240P2FA01 | HONDA &gt;&gt; 37240PD2004 | HONDA &gt;&gt; 37240PT0004 | HONDA &gt;&gt; 37240PT0014 | HONDA &gt;&gt; 37240PT0023 | HONDA &gt;&gt; 37240PT0013 | HONDA &gt;&gt; 37240PD4003 | HONDA &gt;&gt; 37240PLZD00 | HONDA &gt;&gt; 37240PT0003 | HONDA &gt;&gt; 37240PD2003 | ISUZU &gt;&gt; 8941187550 | ISUZU &gt;&gt; 94118775 | ISUZU &gt;&gt; 8943129400 | ISUZU &gt;&gt; 8980130140 | ISUZU &gt;&gt; 5862028310 | NISSAN &gt;&gt; 2524089902 | NISSAN &gt;&gt; 2524089901 | NISSAN &gt;&gt; 2524089900 | NISSAN &gt;&gt; 25240Y9700 | NISSAN &gt;&gt; 25240W5740 | NISSAN &gt;&gt; 25240Y9501 | NISSAN &gt;&gt; 2524089910 | NISSAN &gt;&gt; 25240D9700 | OPEL &gt;&gt; 1252565 | OPEL &gt;&gt; 1252561 | OPEL &gt;&gt; 1238452 | RENAULT &gt;&gt; 7701052674 | ROVER &gt;&gt; NUC100150 | ROVER &gt;&gt; GPS183 | ROVER &gt;&gt; GPS182 | ROVER &gt;&gt; GPS160 | SAAB &gt;&gt; 5951421 | VAUXHALL &gt;&gt; 98013014 | VAUXHALL &gt;&gt; 94312940 | VAUXHALL &gt;&gt; 94118755 | HYUNDAI &gt;&gt; 9475011110 | BOSCH &gt;&gt; 0986345009 | BOSCH &gt;&gt; 0986345003 | QUINTON HAZELL &gt;&gt; XOPS12 | QUINTON HAZELL &gt;&gt; XOPS118 | VEMO &gt;&gt; V40730004 | EPS &gt;&gt; 1800059 | EPS &gt;&gt; 1800015 | KW &gt;&gt; 500015 | KW &gt;&gt; 500059 | UNIPART &gt;&gt; GPS177 | UNIPART &gt;&gt; GPS128 | FACET &gt;&gt; 70059 | FACET &gt;&gt; 70015 | INTERMOTOR &gt;&gt; 50751 | INTERMOTOR &gt;&gt; 50700 | ERA &gt;&gt; 330007 | FAE &gt;&gt; 12230 | TOPRAN &gt;&gt; 202213 | INDELDIS KX 7 &gt;&gt; 1734144 | BLUE PRINT &gt;&gt; ADN16601 | BLUE PRINT &gt;&gt; ADH26604 | ANGLI &gt;&gt; 1453 | ANGLI &gt;&gt; 1455 | LUCAS &gt;&gt; SOB804 | AUTOGAMMA &gt;&gt; VE14607 | AUTOGAMMA &gt;&gt; VE14606</t>
  </si>
  <si>
    <t>CHRYSLER &gt;&gt; MD001482 | CHRYSLER &gt;&gt; MD001483 | CHRYSLER &gt;&gt; MD021566 | CHRYSLER &gt;&gt; MD021567 | DAIHATSU &gt;&gt; 8353087705 | DAIHATSU &gt;&gt; 8353087705000 | DAIHATSU &gt;&gt; 8353014030000 | DAIHATSU &gt;&gt; 8353010020 | FORD &gt;&gt; E9BZ9278A | FORD &gt;&gt; F0BZ9278A | FORD &gt;&gt; F52Z9278AA | FORD &gt;&gt; F1CZ9278A | FORD &gt;&gt; F4BZ9278A | FORD &gt;&gt; XM349278BA | FORD &gt;&gt; 3600688 | FORD &gt;&gt; 3024539 | HONDA &gt;&gt; 37240657013 | HONDA &gt;&gt; 37240634671 | HONDA &gt;&gt; 37240634305 | HONDA &gt;&gt; 37200590036 | HONDA &gt;&gt; 37240634071 | ISUZU &gt;&gt; 94841821 | MAZDA &gt;&gt; FS111850X | MAZDA &gt;&gt; FS1118501A | MAZDA &gt;&gt; B36618501 | MAZDA &gt;&gt; B36718501 | MAZDA &gt;&gt; 134518501 | MAZDA &gt;&gt; JE4818501A | MITSUBISHI &gt;&gt; 1258A002 | MITSUBISHI &gt;&gt; MD021567 | MITSUBISHI &gt;&gt; MD138994 | MITSUBISHI &gt;&gt; MD355645 | MITSUBISHI &gt;&gt; MD138993 | MITSUBISHI &gt;&gt; MD017430 | MITSUBISHI &gt;&gt; MD021566 | MITSUBISHI &gt;&gt; MD001482 | MITSUBISHI &gt;&gt; 1258A005 | MITSUBISHI &gt;&gt; MD001483 | MITSUBISHI &gt;&gt; MC840219 | MITSUBISHI &gt;&gt; MD001481 | MITSUBISHI &gt;&gt; MC840119 | MITSUBISHI &gt;&gt; 1258A003 | NISSAN &gt;&gt; 2524089911 | NISSAN &gt;&gt; 252404A0A5 | NISSAN &gt;&gt; 252404A00A | NISSAN &gt;&gt; 782000480 | OPEL &gt;&gt; 4708881 | OPEL &gt;&gt; 93193712 | SUBARU &gt;&gt; 25240KA080 | SUBARU &gt;&gt; 25240KA040 | SUBARU &gt;&gt; 25240KA020 | SUBARU &gt;&gt; 429957000 | SUBARU &gt;&gt; 3782080G00 | SUBARU &gt;&gt; 829956101 | SUBARU &gt;&gt; 829956100 | SUZUKI &gt;&gt; 37820M70F00 | SUZUKI &gt;&gt; 37820M68K00 | SUZUKI &gt;&gt; 37820A82000 | SUZUKI &gt;&gt; 3782082002 | SUZUKI &gt;&gt; 3782082002000 | SUZUKI &gt;&gt; 3782080G01000 | SUZUKI &gt;&gt; 3782082000 | SUZUKI &gt;&gt; 3782080G00000 | SUZUKI &gt;&gt; 3782080G01 | SUZUKI &gt;&gt; 3782080G00 | SUZUKI &gt;&gt; 3782073002 | SUZUKI &gt;&gt; 3782079600 | SUZUKI &gt;&gt; 3782073000 | TOYOTA &gt;&gt; 8553002030 | TOYOTA &gt;&gt; 8353060040 | TOYOTA &gt;&gt; 8353030080 | TOYOTA &gt;&gt; 8353030041 | TOYOTA &gt;&gt; 8353030043 | TOYOTA &gt;&gt; 8353028030 | TOYOTA &gt;&gt; 8353030030 | TOYOTA &gt;&gt; 8353014040 | TOYOTA &gt;&gt; 8353014050 | TOYOTA &gt;&gt; 8353014030 | TOYOTA &gt;&gt; 8353014010 | TOYOTA &gt;&gt; 8353014020 | TOYOTA &gt;&gt; 8353012020 | TOYOTA &gt;&gt; 8353012040 | TOYOTA &gt;&gt; 8353010020 | TOYOTA &gt;&gt; 8353012010 | TOYOTA &gt;&gt; 8353010010 | TOYOTA &gt;&gt; 8353002030 | VAUXHALL &gt;&gt; 96053621 | VAUXHALL &gt;&gt; 96408134 | VAUXHALL &gt;&gt; 96052138 | VAUXHALL &gt;&gt; 94846169 | VAUXHALL &gt;&gt; 94841821 | VAUXHALL &gt;&gt; 91112377 | CHEVROLET &gt;&gt; 96408134 | CHEVROLET &gt;&gt; 37830A82010000 | HYUNDAI &gt;&gt; 9475042000 | HYUNDAI &gt;&gt; 9475021030 | HYUNDAI &gt;&gt; 9475021020 | HYUNDAI &gt;&gt; 9475021010 | HYUNDAI &gt;&gt; 9475021000 | HYUNDAI &gt;&gt; 9475011102 | HYUNDAI &gt;&gt; 9475011010 | HYUNDAI &gt;&gt; 9461073011 | KIA &gt;&gt; 0K90118501 | KIA &gt;&gt; 0K90018501C | KIA &gt;&gt; 0K90018501A | KIA &gt;&gt; 0K90018501 | KIA &gt;&gt; 0K71E18501 | VAG &gt;&gt; J8353014030 | FIAT / LANCIA &gt;&gt; 71742590 | MASSEY FERGUSON &gt;&gt; 930006 | RENAULT TRUCKS &gt;&gt; 448414055 | HELLA &gt;&gt; 6ZF007392001 | BOSCH &gt;&gt; 0986345017 | BOSCH &gt;&gt; 0986345008 | BOSCH &gt;&gt; 0986345001 | HERTH+BUSS JAKOPARTS &gt;&gt; J5614001 | QUINTON HAZELL &gt;&gt; XOPS47 | QUINTON HAZELL &gt;&gt; XOPS28 | QUINTON HAZELL &gt;&gt; XOPS15 | DENSO &gt;&gt; 0718000620 | DENSO &gt;&gt; 0718000320 | DENSO &gt;&gt; 0718000410 | METZGER &gt;&gt; 0910011 | VEMO &gt;&gt; V32730001 | EPS &gt;&gt; 1800094 | EPS &gt;&gt; 1800035 | EPS &gt;&gt; 1800017 | KW &gt;&gt; 500094 | KW &gt;&gt; 500035 | KW &gt;&gt; 500017 | MOTORCRAFT &gt;&gt; SWE2492 | UNIPART &gt;&gt; GPS147 | FACET &gt;&gt; 70094 | FACET &gt;&gt; 70035 | FACET &gt;&gt; 70017 | INTERMOTOR &gt;&gt; 50810 | INTERMOTOR &gt;&gt; 50740 | INTERMOTOR &gt;&gt; SOP004 | INTERMOTOR &gt;&gt; OPS2030 | INTERMOTOR &gt;&gt; 51110 | INTERMOTOR &gt;&gt; 50820 | ERA &gt;&gt; 330009 | ERA &gt;&gt; 330006 | FAE &gt;&gt; 11730 | FAE &gt;&gt; 11610 | MEAT &amp; DORIA &gt;&gt; 72000 | JP GROUP &gt;&gt; 1293501009 | INDELDIS KX 7 &gt;&gt; 1734167 | INDELDIS KX 7 &gt;&gt; 1734147 | HOFFER &gt;&gt; 7532000 | BLUE PRINT &gt;&gt; ADT36601 | ANGLI &gt;&gt; 1456 | NPS &gt;&gt; H561A01 | NPS &gt;&gt; H561A00 | FISPA &gt;&gt; 82006 | LUCAS &gt;&gt; SOB807 | AUTOGAMMA &gt;&gt; VE14628 | AUTOGAMMA &gt;&gt; VE14604</t>
  </si>
  <si>
    <t>for Art.No.,  &gt;&gt; 330007</t>
  </si>
  <si>
    <t>HONDA &gt;&gt; 37240PT0023 | HONDA &gt;&gt; 37240PD2004 | HONDA &gt;&gt; 37240PT0004 | HONDA &gt;&gt; 37240PT0014 | HONDA &gt;&gt; 37240PLZD00 | HONDA &gt;&gt; 37240PD2003 | ISUZU &gt;&gt; 8941187550 | ISUZU &gt;&gt; 8943129400 | ISUZU &gt;&gt; 5862028310 | NISSAN &gt;&gt; 25240Y9700 | NISSAN &gt;&gt; 25240Y9501 | NISSAN &gt;&gt; 25240D9700 | NISSAN &gt;&gt; 2524089910 | NISSAN &gt;&gt; 2524089902 | NISSAN &gt;&gt; 2524089901 | NISSAN &gt;&gt; 2524089900 | OPEL &gt;&gt; 1252561 | OPEL &gt;&gt; 1252565 | ROVER &gt;&gt; GPS182 | ROVER &gt;&gt; GPS128 | ROVER &gt;&gt; GPS160 | SAAB &gt;&gt; 5951421 | BOSCH &gt;&gt; 0986345009 | FACET &gt;&gt; 70015 | ERA &gt;&gt; 330007HQ | ERA &gt;&gt; 330007B | ERA &gt;&gt; 330007A | FAE &gt;&gt; 12230 | STANDARD &gt;&gt; 50751 | STANDARD &gt;&gt; 50700</t>
  </si>
  <si>
    <t>for Art.No.,  &gt;&gt; 330009</t>
  </si>
  <si>
    <t>DAIHATSU &gt;&gt; 8353014030 | DAIHATSU &gt;&gt; 8353087705 | FORD &gt;&gt; 3600688 | FORD &gt;&gt; 3024539 | FORD &gt;&gt; E9BZ9278A | HONDA &gt;&gt; 37240634671 | MAZDA &gt;&gt; 134518501 | MAZDA &gt;&gt; B36618501 | MAZDA &gt;&gt; B36718501 | MITSUBISHI &gt;&gt; MD021566 | MITSUBISHI &gt;&gt; MD138993 | MITSUBISHI &gt;&gt; MD021567 | MITSUBISHI &gt;&gt; MD001483 | MITSUBISHI &gt;&gt; MD017430 | MITSUBISHI &gt;&gt; MD001482 | NISSAN &gt;&gt; 2524089911 | OPEL &gt;&gt; 91112377 | SUZUKI &gt;&gt; 3782082000 | SUZUKI &gt;&gt; 3782079600 | SUZUKI &gt;&gt; 3782073000 | TOYOTA &gt;&gt; 8353030030 | TOYOTA &gt;&gt; 8353028030 | TOYOTA &gt;&gt; 8353014030 | TOYOTA &gt;&gt; 8353014010 | TOYOTA &gt;&gt; 8353012020 | TOYOTA &gt;&gt; 8353012010 | TOYOTA &gt;&gt; 8353010020 | TOYOTA &gt;&gt; 8353010010 | HYUNDAI &gt;&gt; 9475011010 | HYUNDAI &gt;&gt; 9475011102 | HYUNDAI &gt;&gt; 9475021030 | HYUNDAI &gt;&gt; 9475011110 | HYUNDAI &gt;&gt; 9475021010 | HYUNDAI &gt;&gt; 9475021020 | HYUNDAI &gt;&gt; 9475021000 | DAEWOO &gt;&gt; 37830A82010 | GENERAL MOTORS &gt;&gt; 10179510 | HELLA &gt;&gt; 6ZF007392001 | FACET &gt;&gt; 70017 | ERA &gt;&gt; 330009B | ERA &gt;&gt; 330009A | ERA &gt;&gt; 330009HQ | FAE &gt;&gt; 11610 | MEAT &amp; DORIA &gt;&gt; 72000 | STANDARD &gt;&gt; 50810 | BLUE PRINT &gt;&gt; ADT36601</t>
  </si>
  <si>
    <t>FAE</t>
  </si>
  <si>
    <t>Switch Pressure, bar &gt;&gt; 0,3 | Thread Size,  &gt;&gt; 1/8x28 BSP</t>
  </si>
  <si>
    <t>CHRYSLER &gt;&gt; MD001482 | CHRYSLER &gt;&gt; MD001483 | CHRYSLER &gt;&gt; MD021566 | CHRYSLER &gt;&gt; MD021567 | DAIHATSU &gt;&gt; 8353087702 | DAIHATSU &gt;&gt; 8353087705 | DAIHATSU &gt;&gt; 8353014030000 | DAIHATSU &gt;&gt; 8353010020 | FIAT &gt;&gt; 71742590 | FORD &gt;&gt; 3600688 | FORD &gt;&gt; 3024539 | FORD &gt;&gt; F0BZ9278A | FORD &gt;&gt; F1CZ9278A | FORD &gt;&gt; F4BZ9278A | FORD &gt;&gt; F52Z9278AA | FORD &gt;&gt; E9BZ9278A | HONDA &gt;&gt; 37240634071 | HONDA &gt;&gt; 37200590036 | HONDA &gt;&gt; 37240657013 | HONDA &gt;&gt; 37240634671 | HONDA &gt;&gt; 37240634305 | ISUZU &gt;&gt; 94841821 | MAZDA &gt;&gt; 134518501 | MAZDA &gt;&gt; FS1118501A | MAZDA &gt;&gt; JE4818501A | MAZDA &gt;&gt; B36718501 | MAZDA &gt;&gt; B36618501 | MITSUBISHI &gt;&gt; MD021566 | MITSUBISHI &gt;&gt; MD021567 | MITSUBISHI &gt;&gt; MD138993 | MITSUBISHI &gt;&gt; MD001483 | MITSUBISHI &gt;&gt; MD017430 | MITSUBISHI &gt;&gt; MC840219 | MITSUBISHI &gt;&gt; MD001482 | MITSUBISHI &gt;&gt; MD001481 | MITSUBISHI &gt;&gt; MC840119 | NISSAN &gt;&gt; 2524089911 | SUBARU &gt;&gt; 829956100 | SUBARU &gt;&gt; 429957000 | SUBARU &gt;&gt; 25240KA080 | SUBARU &gt;&gt; 25240KA040 | SUBARU &gt;&gt; 25240KA020 | SUBARU &gt;&gt; 829956101 | SUZUKI &gt;&gt; 3782082002000 | SUZUKI &gt;&gt; 3782082001000 | SUZUKI &gt;&gt; 3782082000 | SUZUKI &gt;&gt; 3782080G01000 | SUZUKI &gt;&gt; 3782079600 | SUZUKI &gt;&gt; 3782073002 | SUZUKI &gt;&gt; 3782073000 | TOYOTA &gt;&gt; 8553002030 | TOYOTA &gt;&gt; 8353060040 | TOYOTA &gt;&gt; 8353030080 | TOYOTA &gt;&gt; 8353030043 | TOYOTA &gt;&gt; 8353030041 | TOYOTA &gt;&gt; 8353030030 | TOYOTA &gt;&gt; 8353028030 | TOYOTA &gt;&gt; 8353014050 | TOYOTA &gt;&gt; 8353014040 | TOYOTA &gt;&gt; 8353014030 | TOYOTA &gt;&gt; 8353014020 | TOYOTA &gt;&gt; 8353014010 | TOYOTA &gt;&gt; 8353012040 | TOYOTA &gt;&gt; 8353012020 | TOYOTA &gt;&gt; 8353012010 | TOYOTA &gt;&gt; 8353010020 | TOYOTA &gt;&gt; 8353010010 | VW &gt;&gt; J8353014030 | HINO &gt;&gt; 835301080 | HYUNDAI &gt;&gt; 9475021030 | HYUNDAI &gt;&gt; 9475021020 | HYUNDAI &gt;&gt; 9475021010 | HYUNDAI &gt;&gt; 9475011102 | HYUNDAI &gt;&gt; 9475021000 | HYUNDAI &gt;&gt; 9475011010 | KIA &gt;&gt; 9461073011 | KIA &gt;&gt; 0K90118501 | KIA &gt;&gt; 0K90018501C | KIA &gt;&gt; 0K71E18501 | DAEWOO &gt;&gt; 96408134 | RENAULT TRUCKS &gt;&gt; 448414055 | GENERAL MOTORS &gt;&gt; 91112377 | GENERAL MOTORS &gt;&gt; 96053621 | GENERAL MOTORS &gt;&gt; 96052138 | GENERAL MOTORS &gt;&gt; 94846169 | GENERAL MOTORS &gt;&gt; 94841821 | HELLA &gt;&gt; 6ZF007394001 | HELLA &gt;&gt; 6ZF007392001 | BOSCH &gt;&gt; 0986345017 | BOSCH &gt;&gt; 0986345008 | BOSCH &gt;&gt; 0986345001 | MOTORCRAFT &gt;&gt; SWE2287 | MOTORCRAFT &gt;&gt; SWE2197</t>
  </si>
  <si>
    <t>HONDA &gt;&gt; 37240PD2003 | HONDA &gt;&gt; 37240PT0023 | HONDA &gt;&gt; 37240PD2004 | HONDA &gt;&gt; 37240PT0003 | HONDA &gt;&gt; 37240PT0013 | HONDA &gt;&gt; 37240PT0014 | HONDA &gt;&gt; 37240PT0004 | HONDA &gt;&gt; 37240PD4003 | ISUZU &gt;&gt; 94118775 | ISUZU &gt;&gt; 8941187550 | ISUZU &gt;&gt; 8943129400 | NISSAN &gt;&gt; 25240Y9501 | NISSAN &gt;&gt; 25240Y9700 | NISSAN &gt;&gt; 25240D9700 | NISSAN &gt;&gt; 25240W5740 | NISSAN &gt;&gt; 2524089910 | NISSAN &gt;&gt; 2524089902 | NISSAN &gt;&gt; 2524089901 | NISSAN &gt;&gt; 2524089900 | OPEL &gt;&gt; 1252565 | OPEL &gt;&gt; 1252561 | OPEL &gt;&gt; 1238452 | OPEL &gt;&gt; 01252565 | OPEL &gt;&gt; 01252561 | RENAULT &gt;&gt; 7701052674 | HYUNDAI &gt;&gt; 9475011110 | GENERAL MOTORS &gt;&gt; 94312940 | GENERAL MOTORS &gt;&gt; 94118755 | HELLA &gt;&gt; 6ZF007391001 | BOSCH &gt;&gt; 0986345009 | PEX &gt;&gt; 300015 | KW &gt;&gt; 500015 | FACET &gt;&gt; 70015 | FAE &gt;&gt; 12230 | MEAT &amp; DORIA &gt;&gt; 72002 | JP GROUP &gt;&gt; 881252565 | SIDAT &gt;&gt; 82003 | HOFFER &gt;&gt; 7532002 | FISPA &gt;&gt; 82003</t>
  </si>
  <si>
    <t>NISSAN &gt;&gt; 2524089900 | NISSAN &gt;&gt; 2524089902 | NISSAN &gt;&gt; 2524089910 | NISSAN &gt;&gt; 25240D9700 | NISSAN &gt;&gt; 2524089901 | NISSAN &gt;&gt; 25240Y9700 | NISSAN &gt;&gt; 25240Y9501 | HERTH+BUSS JAKOPARTS &gt;&gt; J5611000 | QUINTON HAZELL &gt;&gt; XOPS12 | JAPANPARTS &gt;&gt; PO100 | ASHIKA &gt;&gt; 1101100 | STANDARD &gt;&gt; 50700 | BorgWarner &gt;&gt; 824331031 | BorgWarner &gt;&gt; 824331033 | BLUE PRINT &gt;&gt; ADN16601 | JAPKO &gt;&gt; 11100</t>
  </si>
  <si>
    <t>DAIHATSU &gt;&gt; 8353014030000 | DAIHATSU &gt;&gt; 8353087705 | DAIHATSU &gt;&gt; 8353087705000 | FORD &gt;&gt; 3024539 | FORD &gt;&gt; 3600688 | FORD &gt;&gt; E9BZ9278A | HONDA &gt;&gt; 37240634671 | MAZDA &gt;&gt; B36618501 | MAZDA &gt;&gt; 134518501 | MAZDA &gt;&gt; B36718501 | MITSUBISHI &gt;&gt; 9475021010 | MITSUBISHI &gt;&gt; 9475021020 | MITSUBISHI &gt;&gt; 9475021030 | MITSUBISHI &gt;&gt; MD021567 | MITSUBISHI &gt;&gt; MD017430 | MITSUBISHI &gt;&gt; MD021566 | MITSUBISHI &gt;&gt; MC840219 | MITSUBISHI &gt;&gt; MD001483 | OPEL &gt;&gt; 4708881 | SUZUKI &gt;&gt; 3782082002000 | SUZUKI &gt;&gt; 3782082001000 | SUZUKI &gt;&gt; 3782080G01000 | SUZUKI &gt;&gt; 3782082000 | SUZUKI &gt;&gt; 3782079600 | SUZUKI &gt;&gt; 3782073000 | TOYOTA &gt;&gt; 8353010010 | TOYOTA &gt;&gt; 8353030030 | TOYOTA &gt;&gt; 8353028030 | TOYOTA &gt;&gt; 8353014030 | TOYOTA &gt;&gt; 8353014010 | TOYOTA &gt;&gt; 8353012020 | TOYOTA &gt;&gt; 8353012010 | TOYOTA &gt;&gt; 8353010020 | CHEVROLET &gt;&gt; 96408134 | HYUNDAI &gt;&gt; 9475042000 | HYUNDAI &gt;&gt; 9475021030 | HYUNDAI &gt;&gt; 9475021020 | HYUNDAI &gt;&gt; 9475021010 | HYUNDAI &gt;&gt; 9475011110 | HYUNDAI &gt;&gt; 9475021000 | HYUNDAI &gt;&gt; 9475011102 | HYUNDAI &gt;&gt; 9475011010 | HYUNDAI &gt;&gt; 9461073011 | KIA &gt;&gt; 9475042000 | KIA &gt;&gt; 9475021030 | KIA &gt;&gt; 9461073011 | DAEWOO &gt;&gt; 96408134 | DAEWOO &gt;&gt; 37830A82010000 | VAG &gt;&gt; J8353014030 | GENERAL MOTORS &gt;&gt; 96053621 | GENERAL MOTORS &gt;&gt; 96052138 | GENERAL MOTORS &gt;&gt; 93193712 | GENERAL MOTORS &gt;&gt; 91112377 | HELLA &gt;&gt; 6ZF007392001 | LUCAS ELECTRICAL &gt;&gt; SOB807 | BOSCH &gt;&gt; 0986345017 | BOSCH &gt;&gt; 0986345008 | BOSCH &gt;&gt; 0986345001 | BREMI &gt;&gt; 1075547 | DENSO &gt;&gt; 0718000620 | DENSO &gt;&gt; 0718000320 | DENSO &gt;&gt; 0718000410 | EPS &gt;&gt; 1800017 | KW &gt;&gt; 500017 | UNIPART &gt;&gt; GPS147 | INTERMOTOR &gt;&gt; 51110 | INTERMOTOR &gt;&gt; 50810 | INTERMOTOR &gt;&gt; 50740 | CALORSTAT by Vernet &gt;&gt; 3539 | FAE &gt;&gt; 11640 | FAE &gt;&gt; 11610 | FAE &gt;&gt; 1161 | JP GROUP &gt;&gt; XOPS15 | ANGLI &gt;&gt; 1456</t>
  </si>
  <si>
    <t>AUTLOG</t>
  </si>
  <si>
    <t>Weight, kg &gt;&gt; 0,025</t>
  </si>
  <si>
    <t>CHRYSLER &gt;&gt; MD001483 | CHRYSLER &gt;&gt; MD021567 | CHRYSLER &gt;&gt; MD021566 | CHRYSLER &gt;&gt; MD001482 | FIAT &gt;&gt; 71742590 | FORD &gt;&gt; F52Z9278AA | FORD &gt;&gt; F4BZ9278A | HONDA &gt;&gt; 37240657013 | HONDA &gt;&gt; 37240634305 | HONDA &gt;&gt; 37240634671 | HONDA &gt;&gt; 37240634071 | HONDA &gt;&gt; 37200590036 | ISUZU &gt;&gt; 94846169 | ISUZU &gt;&gt; 94841821 | MAZDA &gt;&gt; FS1118501A | MAZDA &gt;&gt; JE4818501A | MAZDA &gt;&gt; FS111850X | MITSUBISHI &gt;&gt; MD3555645 | RENAULT &gt;&gt; 448414055 | ROVER &gt;&gt; GPS151 | SUBARU &gt;&gt; 25240KA080 | SUBARU &gt;&gt; 25240KA040 | SUBARU &gt;&gt; 25240KA020 | TOYOTA &gt;&gt; 8353060040 | TOYOTA &gt;&gt; 8353030080 | TOYOTA &gt;&gt; 8353014050 | TOYOTA &gt;&gt; 8353014040 | TOYOTA &gt;&gt; 8353014020 | TOYOTA &gt;&gt; 8353012040 | TOYOTA &gt;&gt; 8353002030 | KIA &gt;&gt; OK90118501 | KIA &gt;&gt; OK90018501C | FERRARI &gt;&gt; 71742590 | GENERAL MOTORS &gt;&gt; 94846169 | GENERAL MOTORS &gt;&gt; 94841821 | HELLA &gt;&gt; 6ZF007394001 | QUINTON HAZELL &gt;&gt; XOPS28 | FACET &gt;&gt; 72000</t>
  </si>
  <si>
    <t>Weight, kg &gt;&gt; 0,05</t>
  </si>
  <si>
    <t>HONDA &gt;&gt; 37240PD2003 | HONDA &gt;&gt; 37240PD2004 | HONDA &gt;&gt; 37240PTO014 | HONDA &gt;&gt; 37240PTO023 | HONDA &gt;&gt; 37240PLZD00 | HONDA &gt;&gt; 37240PTO004 | ISUZU &gt;&gt; 8941187550 | ISUZU &gt;&gt; 8943129400 | ISUZU &gt;&gt; 5862028310 | NISSAN &gt;&gt; 25240Y9501 | NISSAN &gt;&gt; 25240D9700 | NISSAN &gt;&gt; 2524089902 | NISSAN &gt;&gt; 2524089901 | NISSAN &gt;&gt; 2524089900 | NISSAN &gt;&gt; 2508089900 | OPEL &gt;&gt; 94312940 | OPEL &gt;&gt; 1252565 | OPEL &gt;&gt; 1252561 | OPEL &gt;&gt; 1238696 | OPEL &gt;&gt; 98013014 | RENAULT &gt;&gt; 7701052674 | ROVER &gt;&gt; GPS183 | ROVER &gt;&gt; GPS182 | ROVER &gt;&gt; GPS160 | ROVER &gt;&gt; GPS128 | SAAB &gt;&gt; 5951421 | SUZUKI &gt;&gt; 2524089910 | HYUNDAI &gt;&gt; 9475011110 | DAEWOO &gt;&gt; 8493129402 | DAEWOO &gt;&gt; 2524089910 | GENERAL MOTORS &gt;&gt; 94312940 | GENERAL MOTORS &gt;&gt; 98013014 | BERU &gt;&gt; 0824331053 | BOSCH &gt;&gt; 0986345009 | BOSCH &gt;&gt; 0986345003 | QUINTON HAZELL &gt;&gt; XOPS12 | HERTH+BUSS ELPARTS &gt;&gt; J5611000 | VEMO &gt;&gt; V40730004 | FACET &gt;&gt; 70015 | MEAT &amp; DORIA &gt;&gt; 72002 | TOPRAN &gt;&gt; 202213</t>
  </si>
  <si>
    <t>Brake Light Switch</t>
  </si>
  <si>
    <t>Length, mm &gt;&gt; 75 | Width, mm &gt;&gt; 50 | Height, mm &gt;&gt; 75 | Weight, kg &gt;&gt; 0,05 | Thread Size,  &gt;&gt; M10 x 1.25 |  &gt;&gt; Manual (foot operated) | Spanner size,  &gt;&gt; 14 | , terminal &gt;&gt; 4 | Housing Colour,  &gt;&gt; Black | Techn. Info. No.,  &gt;&gt; Circuit N.O./N.C.</t>
  </si>
  <si>
    <t>HONDA &gt;&gt; 36750SE0003 | HONDA &gt;&gt; 36750SE0013 | ISUZU &gt;&gt; 8941098630 | MITSUBISHI &gt;&gt; MB487644 | MITSUBISHI &gt;&gt; MB596608 | OPEL &gt;&gt; 1240554 | KIA &gt;&gt; 938103E000 | KIA &gt;&gt; 0K20C66490A | DAEWOO &gt;&gt; 8941098630 | DAEWOO &gt;&gt; 8571005030X | DAEWOO &gt;&gt; 8571005020X | GENERAL MOTORS &gt;&gt; 94109863 | LUCAS CAV &gt;&gt; SMB559 | VEMO &gt;&gt; V26730004 | EPS &gt;&gt; 1810044 | KW &gt;&gt; 510044 | FACET &gt;&gt; 71044 | INTERMOTOR &gt;&gt; 51316 | FAE &gt;&gt; 24600 | FUELPARTS &gt;&gt; BLS1009 | C.I. &gt;&gt; XBLS89</t>
  </si>
  <si>
    <t>Signal System</t>
  </si>
  <si>
    <t>Stop Light</t>
  </si>
  <si>
    <t xml:space="preserve"> &gt;&gt; Mechanical | Number of ports,  &gt;&gt; 4 | Housing Colour,  &gt;&gt; Black</t>
  </si>
  <si>
    <t>HONDA &gt;&gt; 36750SE0003 | HONDA &gt;&gt; 36750SE0013 | ISUZU &gt;&gt; 8941098630 | MITSUBISHI &gt;&gt; MB487644 | MITSUBISHI &gt;&gt; MB596608 | OPEL &gt;&gt; 1240554 | SSANGYONG &gt;&gt; 8571005020X | KIA &gt;&gt; 0K20C66490A | KIA &gt;&gt; 938103E000 | DAEWOO &gt;&gt; 8571005030X | DAEWOO &gt;&gt; 8571005020X | GENERAL MOTORS &gt;&gt; 94109863 | HELLA &gt;&gt; 6DD008622131 | EPS &gt;&gt; 1810044 | KW &gt;&gt; 510044 | INTERMOTOR &gt;&gt; 51316 | CALORSTAT by Vernet &gt;&gt; 4560 | FAE &gt;&gt; 24600 | FAE &gt;&gt; 2460</t>
  </si>
  <si>
    <t>SIDAT</t>
  </si>
  <si>
    <t xml:space="preserve"> &gt;&gt; Mechanical | for OE No.,  &gt;&gt; 94109863</t>
  </si>
  <si>
    <t>HONDA &gt;&gt; 36750SE0003 | HONDA &gt;&gt; 36750SE0013 | ISUZU &gt;&gt; 8941098630 | MITSUBISHI &gt;&gt; MB487644 | MITSUBISHI &gt;&gt; MB596608 | OPEL &gt;&gt; 94109863 | OPEL &gt;&gt; 1240554 | CHEVROLET &gt;&gt; 1240554 | CHEVROLET &gt;&gt; 94109863 | HYUNDAI &gt;&gt; 938103E000 | HYUNDAI &gt;&gt; 0K20C66490A | KIA &gt;&gt; 938103E000 | KIA &gt;&gt; 0K20C66490A | GENERAL MOTORS &gt;&gt; 1240554 | GENERAL MOTORS &gt;&gt; 94109863 | FACET &gt;&gt; 71044 | FAE &gt;&gt; 24600 | MEAT &amp; DORIA &gt;&gt; 35007 | HOFFER &gt;&gt; 3500007</t>
  </si>
  <si>
    <t>Brake Light Switch| Switch, clutch control (cruise control)</t>
  </si>
  <si>
    <t xml:space="preserve"> &gt;&gt; Mechanical</t>
  </si>
  <si>
    <t>HONDA &gt;&gt; 36750SE0003 | HONDA &gt;&gt; 36750SE0013 | ISUZU &gt;&gt; 8941098630 | MITSUBISHI &gt;&gt; MB487644 | MITSUBISHI &gt;&gt; MB596608 | OPEL &gt;&gt; 1240554 | SSANGYONG &gt;&gt; 8571005020X | KIA &gt;&gt; 0K20C66490A | KIA &gt;&gt; 938103E000 | DAEWOO &gt;&gt; 8571005030X | DAEWOO &gt;&gt; 8571005020X | GENERAL MOTORS &gt;&gt; 94109863 | HOLDEN &gt;&gt; 8941098630 | HELLA &gt;&gt; 6DD008622131 | QUINTON HAZELL &gt;&gt; XBLS89 | EPS &gt;&gt; 1810044 | KW &gt;&gt; 510044 | INTERMOTOR &gt;&gt; 51316 | CALORSTAT by Vernet &gt;&gt; 4560 | FAE &gt;&gt; 24600 | FAE &gt;&gt; 2460</t>
  </si>
  <si>
    <t>HONDA &gt;&gt; 36750SE0003 | HONDA &gt;&gt; 36750SE0013 | ISUZU &gt;&gt; 8941098630 | MITSUBISHI &gt;&gt; MB487644 | MITSUBISHI &gt;&gt; MB596608 | OPEL &gt;&gt; 1240554 | SSANGYONG &gt;&gt; 8571005020X | KIA &gt;&gt; 938103E000 | KIA &gt;&gt; 0K20C66490A | DAEWOO &gt;&gt; 8571005030X | DAEWOO &gt;&gt; 8571005020X | GENERAL MOTORS &gt;&gt; 94109863 | HOLDEN &gt;&gt; 8941098630 | HELLA &gt;&gt; 6DD008622131 | QUINTON HAZELL &gt;&gt; XBLS89 | PEX &gt;&gt; 320045 | FACET &gt;&gt; 71044 | CALORSTAT by Vernet &gt;&gt; 4560 | ERA &gt;&gt; 330043 | LUCAS &gt;&gt; SMB559</t>
  </si>
  <si>
    <t xml:space="preserve"> &gt;&gt; Mechanical | Thread Size,  &gt;&gt; M10x1.25</t>
  </si>
  <si>
    <t>HONDA &gt;&gt; 36750SE0003 | HONDA &gt;&gt; 36750SE0013 | ISUZU &gt;&gt; 8941098630 | MITSUBISHI &gt;&gt; MB487644 | MITSUBISHI &gt;&gt; MB487645 | MITSUBISHI &gt;&gt; MB596608 | OPEL &gt;&gt; 1240554 | VAUXHALL &gt;&gt; 94109863 | CHEVROLET &gt;&gt; 8571005030X | CHEVROLET &gt;&gt; 8571005020X | SSANGYONG &gt;&gt; 8571005030 | HYUNDAI &gt;&gt; 9381032001 | HYUNDAI &gt;&gt; 9381032000 | KIA &gt;&gt; 938103E000 | KIA &gt;&gt; 0K20C66490A | QUINTON HAZELL &gt;&gt; XBLS89 | EPS &gt;&gt; 1810125 | EPS &gt;&gt; 1810044 | KW &gt;&gt; 510125 | KW &gt;&gt; 510044 | FACET &gt;&gt; 71125 | FACET &gt;&gt; 71044 | INTERMOTOR &gt;&gt; 51316 | INTERMOTOR &gt;&gt; 51541 | ERA &gt;&gt; 330701 | FAE &gt;&gt; 24615 | FAE &gt;&gt; 24600 | INDELDIS KX 7 &gt;&gt; 1735430 | ANGLI &gt;&gt; 449 | ANGLI &gt;&gt; 40026</t>
  </si>
  <si>
    <t>Number of ports,  &gt;&gt; 4 |  &gt;&gt; Mechanical | for Art.No.,  &gt;&gt; 330701</t>
  </si>
  <si>
    <t>HONDA &gt;&gt; 36750SE0013 | HONDA &gt;&gt; 36750SE0003 | ISUZU &gt;&gt; 8941098630 | MITSUBISHI &gt;&gt; MB487644 | MITSUBISHI &gt;&gt; MB596608 | OPEL &gt;&gt; 1240554 | SSANGYONG &gt;&gt; 8571005020X | KIA &gt;&gt; 938103E000 | KIA &gt;&gt; 0K20C66490A | DAEWOO &gt;&gt; 8571005030X | DAEWOO &gt;&gt; 8571005020X | GENERAL MOTORS &gt;&gt; 94109863 | HOLDEN &gt;&gt; 8941098630 | FACET &gt;&gt; 71044 | ERA &gt;&gt; 330701B | ERA &gt;&gt; 330701A | ERA &gt;&gt; 330701HQ | FAE &gt;&gt; 24600 | STANDARD &gt;&gt; 51316</t>
  </si>
  <si>
    <t xml:space="preserve"> &gt;&gt; Manual (foot operated) |  &gt;&gt; for vehicles with cruise control</t>
  </si>
  <si>
    <t>HONDA &gt;&gt; 36750SE0013 | HONDA &gt;&gt; 36750SE0003 | ISUZU &gt;&gt; 8941098630 | MITSUBISHI &gt;&gt; MB487645 | MITSUBISHI &gt;&gt; MB596608 | MITSUBISHI &gt;&gt; MB487644 | OPEL &gt;&gt; 1240554 | SSANGYONG &gt;&gt; 8571005020X | KIA &gt;&gt; 938103E000 | KIA &gt;&gt; 0K20C66490A | DAEWOO &gt;&gt; 8571005020X | DAEWOO &gt;&gt; 8571005030X | GENERAL MOTORS &gt;&gt; 94109863 | HOLDEN &gt;&gt; 8941098630 | HELLA &gt;&gt; 6DD008622131</t>
  </si>
  <si>
    <t>FISPA</t>
  </si>
  <si>
    <t>HONDA &gt;&gt; 36750SE0013 | HONDA &gt;&gt; 36750SE0003 | ISUZU &gt;&gt; 8941098630 | MITSUBISHI &gt;&gt; MB596608 | MITSUBISHI &gt;&gt; MB487644 | OPEL &gt;&gt; 1240554 | OPEL &gt;&gt; 94109863 | CHEVROLET &gt;&gt; 1240554 | CHEVROLET &gt;&gt; 94109863 | HYUNDAI &gt;&gt; 938103E000 | HYUNDAI &gt;&gt; 0K20C66490A | KIA &gt;&gt; 938103E000 | KIA &gt;&gt; 0K20C66490A | GENERAL MOTORS &gt;&gt; 1240554 | GENERAL MOTORS &gt;&gt; 94109863 | FACET &gt;&gt; 71044 | FAE &gt;&gt; 24600 | MEAT &amp; DORIA &gt;&gt; 35007 | HOFFER &gt;&gt; 3500007</t>
  </si>
  <si>
    <t>Switch, reverse light</t>
  </si>
  <si>
    <t>HONDA &gt;&gt; 35600PA5003 | HONDA &gt;&gt; 35600PA5013 | HONDA &gt;&gt; 35600PG7003 | HONDA &gt;&gt; 35600PE1951 | HONDA &gt;&gt; 35600PD2003 | HONDA &gt;&gt; 35600PE0013 | HONDA &gt;&gt; 35600PL3013 | ROVER &gt;&gt; DPB9237 | ROVER &gt;&gt; DPB9877 | ROVER &gt;&gt; FDU2766 | LUCAS ELECTRICAL &gt;&gt; SMB553 | QUINTON HAZELL &gt;&gt; XRLS78 | EPS &gt;&gt; 1860094 | KW &gt;&gt; 560094 | UNIPART &gt;&gt; DBP9877 | UNIPART &gt;&gt; DBP9237 | CALORSTAT by Vernet &gt;&gt; 5537 | FAE &gt;&gt; 40580 | FAE &gt;&gt; 4058</t>
  </si>
  <si>
    <t>Lights</t>
  </si>
  <si>
    <t>Reverse Light</t>
  </si>
  <si>
    <t>Thread Size,  &gt;&gt; M14x1.5 |  &gt;&gt; with cable | Techn. Info. No.,  &gt;&gt; Circuit N.O.</t>
  </si>
  <si>
    <t>HONDA &gt;&gt; 35600689003 | HONDA &gt;&gt; 35600PD2003 | HONDA &gt;&gt; 35600PE1951 | HONDA &gt;&gt; 35600PG1L60 | HONDA &gt;&gt; 35600PE0013 | HONDA &gt;&gt; 35600PK5003 | HONDA &gt;&gt; 35600PA5013 | HONDA &gt;&gt; 35600PB1003 | HONDA &gt;&gt; 35600PL3013 | HONDA &gt;&gt; 35600PA5003 | ROVER &gt;&gt; BNP4626 | ROVER &gt;&gt; BNP3520 | ROVER &gt;&gt; UMB100040 | ROVER &gt;&gt; FDU2766 | ROVER &gt;&gt; CDU51 | ROVER &gt;&gt; DBP9237 | ROVER &gt;&gt; DBP9877 | LAND ROVER &gt;&gt; CDU51L | HELLA &gt;&gt; 6ZF181612001 | QUINTON HAZELL &gt;&gt; XRLS77 | PEX &gt;&gt; 390088 | METZGER &gt;&gt; 0912002 | VEMO &gt;&gt; V26730012 | EPS &gt;&gt; 1860135 | EPS &gt;&gt; 1860094 | EPS &gt;&gt; 1860093 | KW &gt;&gt; 560135 | KW &gt;&gt; 560094 | KW &gt;&gt; 560093 | ALLMAKES &gt;&gt; 34309 | FACET &gt;&gt; 76094 | FACET &gt;&gt; 76135 | FACET &gt;&gt; 76093 | INTERMOTOR &gt;&gt; 54041 | INTERMOTOR &gt;&gt; SRL012 | INTERMOTOR &gt;&gt; RLS5013 | FAE &gt;&gt; 40580 | INDELDIS KX 7 &gt;&gt; 1739498 | INDELDIS KX 7 &gt;&gt; 1739464 | ANGLI &gt;&gt; 9205 | ANGLI &gt;&gt; 9201 | LUCAS &gt;&gt; SMB553 | LUCAS &gt;&gt; SMB530 | LUCAS &gt;&gt; SMB527</t>
  </si>
  <si>
    <t>Sender Unit, coolant temperature| Sender Unit, coolant temperature| Sender Unit, coolant temperature</t>
  </si>
  <si>
    <t>FORD &gt;&gt; E92Z10884C | HONDA &gt;&gt; 37750PC1004 | MAZDA &gt;&gt; G60718510 | ROVER &gt;&gt; GTR142 | ROVER &gt;&gt; GTR141 | KIA &gt;&gt; KK15118510A | KIA &gt;&gt; KK1501851X | KIA &gt;&gt; KK15118510 | LUCAS ELECTRICAL &gt;&gt; SNJ600 | QUINTON HAZELL &gt;&gt; XTT82 | QUINTON HAZELL &gt;&gt; XTT39 | EPS &gt;&gt; 1830056 | KW &gt;&gt; 530056 | MOTORCRAFT &gt;&gt; SWE2223 | UNIPART &gt;&gt; GTR142 | UNIPART &gt;&gt; GTR141 | UNIPART &gt;&gt; GTR133 | UNIPART &gt;&gt; GTR140 | INTERMOTOR &gt;&gt; 52477 | INTERMOTOR &gt;&gt; 52476 | INTERMOTOR &gt;&gt; 52475 | INTERMOTOR &gt;&gt; 52470 | CALORSTAT by Vernet &gt;&gt; 2556 | FAE &gt;&gt; 32350 | FAE &gt;&gt; 3235 | FAE &gt;&gt; 32310 | FAE &gt;&gt; 3231 | ANGLI &gt;&gt; 1587</t>
  </si>
  <si>
    <t>Sensor, oil temperature| Sender Unit, coolant temperature| Sender Unit, coolant temperature| Sender Unit, coolant temperature</t>
  </si>
  <si>
    <t>HONDA &gt;&gt; 37870PJ7003 | HONDA &gt;&gt; 37870PK2005 | HONDA &gt;&gt; 48160P6K004 | ISUZU &gt;&gt; 5862028470 | ROVER &gt;&gt; MEK100120 | ROVER &gt;&gt; GTR210 | ROVER &gt;&gt; MEK100070 | HELLA &gt;&gt; 6PT009107511 | EPS &gt;&gt; 1830198 | KW &gt;&gt; 530198 | INTERMOTOR &gt;&gt; 55132 | FAE &gt;&gt; 33270 | FAE &gt;&gt; 3327 | FAE &gt;&gt; 33450</t>
  </si>
  <si>
    <t>HONDA &gt;&gt; 37870PK2005 | HONDA &gt;&gt; 37870PJ7003 | HONDA &gt;&gt; 48160P6K004 | HONDA &gt;&gt; 37870PK2015 | ROVER &gt;&gt; MEK100120 | ROVER &gt;&gt; MEK100070 | ROVER &gt;&gt; GTR210 | HELLA &gt;&gt; 6PT009107511 | HERTH+BUSS JAKOPARTS &gt;&gt; J5624002 | HERTH+BUSS ELPARTS &gt;&gt; J5624002 | AKS DASIS &gt;&gt; 901348N | METZGER &gt;&gt; 0905058 | TRISCAN &gt;&gt; 862570092 | HAVAM &gt;&gt; 1830198 | VEMO &gt;&gt; 26720002 | FACET &gt;&gt; 73198 | FAE &gt;&gt; 33450 | NIPPARTS &gt;&gt; J5624002 | ASHUKI &gt;&gt; 16862004</t>
  </si>
  <si>
    <t>HONDA &gt;&gt; 37750PC1004 | MAZDA &gt;&gt; G60718510 | ROVER &gt;&gt; GTR141 | ROVER &gt;&gt; GTR142 | KIA &gt;&gt; KK1501851X | KIA &gt;&gt; KK15118510A | HERTH+BUSS JAKOPARTS &gt;&gt; J5624000 | QUINTON HAZELL &gt;&gt; XTT39 | QUINTON HAZELL &gt;&gt; XTT40 | PEX &gt;&gt; 340055 | JAPANPARTS &gt;&gt; BA400 | HAVAM &gt;&gt; 1830056 | CALORSTAT by Vernet &gt;&gt; 2556 | ASHIKA &gt;&gt; 6404400 | FAE &gt;&gt; 32310 | NIPPARTS &gt;&gt; J5623002 | NIPPARTS &gt;&gt; J5624000 | STANDARD &gt;&gt; STT027 | STANDARD &gt;&gt; 52470 | ASHUKI &gt;&gt; 16860004 | ASHUKI &gt;&gt; 16862003</t>
  </si>
  <si>
    <t>Thread Size,  &gt;&gt; 1/8x28 BSPT</t>
  </si>
  <si>
    <t>HONDA &gt;&gt; 37750PC1004 | HONDA &gt;&gt; 37750PCI004 | MAZDA &gt;&gt; G60718510 | QUINTON HAZELL &gt;&gt; XTT39 | EPS &gt;&gt; 1830056 | KW &gt;&gt; 530056 | UNIPART &gt;&gt; GTR133 | FACET &gt;&gt; 73056 | INTERMOTOR &gt;&gt; 52470 | FAE &gt;&gt; 32310 | MTE-THOMSON &gt;&gt; 3135 | INDELDIS KX 7 &gt;&gt; 1736275 | ANGLI &gt;&gt; 1587 | LUCAS &gt;&gt; SNJ600 | LUCAS &gt;&gt; SNB134</t>
  </si>
  <si>
    <t>MTE-THOMSON</t>
  </si>
  <si>
    <t>Thread Size,  &gt;&gt; 12 x 1,5 | The color is equivalent to the original part in,  &gt;&gt; Black</t>
  </si>
  <si>
    <t>HONDA &gt;&gt; 37870PJ7003 | HONDA &gt;&gt; 37870PK2005 | HONDA &gt;&gt; 48160P6K004 | ISUZU &gt;&gt; 5862028470 | ROVER &gt;&gt; MEK100070 | ROVER &gt;&gt; MEK100120 | ROVER &gt;&gt; GTR210 | FACET &gt;&gt; 73198 | CALORSTAT by Vernet &gt;&gt; WS3010 | FAE &gt;&gt; 33450 | MEAT &amp; DORIA &gt;&gt; 82029 | STANDARD &gt;&gt; 55132</t>
  </si>
  <si>
    <t>Sleeve l., mm &gt;&gt; 4 | Thread Size,  &gt;&gt; 1/8 x 28 BSPT</t>
  </si>
  <si>
    <t>FORD &gt;&gt; E92Z10884C | HONDA &gt;&gt; 37750PC1004 | MAZDA &gt;&gt; G60718510 | ROVER &gt;&gt; GTR141 | ROVER &gt;&gt; GTR142 | KIA &gt;&gt; KK15118510 | KIA &gt;&gt; KK15118510A | KIA &gt;&gt; KK1501851X | QUINTON HAZELL &gt;&gt; XTT39 | FACET &gt;&gt; 73056 | CALORSTAT by Vernet &gt;&gt; WS2556 | FAE &gt;&gt; 32310 | STANDARD &gt;&gt; 52470</t>
  </si>
  <si>
    <t>MAXGEAR</t>
  </si>
  <si>
    <t>HONDA &gt;&gt; 37870PJ7003 | HONDA &gt;&gt; 48160P6K004 | HONDA &gt;&gt; 37870PK2005 | ISUZU &gt;&gt; 5862028470 | ROVER &gt;&gt; MEK100070 | ROVER &gt;&gt; MEK100120 | ROVER &gt;&gt; GTR210 | HELLA &gt;&gt; 6PT009107511 | HERTH+BUSS JAKOPARTS &gt;&gt; J5624002 | FAE &gt;&gt; 33450 | FAE &gt;&gt; 3327 | FAE &gt;&gt; 33270</t>
  </si>
  <si>
    <t xml:space="preserve"> &gt;&gt; Wheelarch | Fitting Position,  &gt;&gt; Outer wheel-side | Fitting Position,  &gt;&gt; Left and right |  &gt;&gt; Outer section |  &gt;&gt; Repair Panel | Doors,  &gt;&gt; 2-5 | Length 1, mm &gt;&gt; 1250 | Width 1, mm &gt;&gt; 50 |  &gt;&gt; Can be shortened | Height 1, mm &gt;&gt; 20 | Length 1, mm &gt;&gt; 1250 | Sheet Strength, mm &gt;&gt; 0,7 | Width 1, mm &gt;&gt; 50 | Height 1, mm &gt;&gt; 20 |  &gt;&gt; Can be shortened | Sheet Strength, mm &gt;&gt; 0,7 | Quality Grade,  &gt;&gt; DC01 ST12</t>
  </si>
  <si>
    <t>Control Unit, ignition system</t>
  </si>
  <si>
    <t>Equipment Vart.,  &gt;&gt; Amplifier</t>
  </si>
  <si>
    <t>HONDA &gt;&gt; 06302PT3004 | HONDA &gt;&gt; 06302PT3A00 | HONDA &gt;&gt; 06302PT2A01 | HONDA &gt;&gt; 06302PT3000 | HONDA &gt;&gt; 5DA006623401 | HONDA &gt;&gt; 30130P54006 | HONDA &gt;&gt; 30130PR4A02 | HONDA &gt;&gt; 06302PT2A00 | HONDA &gt;&gt; 30120PT3004 | HONDA &gt;&gt; 30120PT3003 | HONDA &gt;&gt; 06302PT2A0 | HONDA &gt;&gt; 30120PT2004 | HONDA &gt;&gt; 30120PR3003 | HONDA &gt;&gt; 06302PT2000 | HONDA &gt;&gt; 30120PMA01 | HONDA &gt;&gt; 30120PM5A01 | HONDA &gt;&gt; 0632PT2A00 | ROVER &gt;&gt; NJL100040 | BERU &gt;&gt; 0040401023 | BERU &gt;&gt; 40401023 | BERU &gt;&gt; ZM023 | BERU &gt;&gt; 040401023 | VALEO &gt;&gt; 245550 | BOSCH &gt;&gt; BIM079 | MAGNETI MARELLI &gt;&gt; 940038550010 | MAGNETI MARELLI &gt;&gt; 940038550 | MAGNETI MARELLI &gt;&gt; 000094038550 | NECTO &gt;&gt; MC8541 | NECTO &gt;&gt; MC8183 | NECTO &gt;&gt; MC8132 | LUCAS &gt;&gt; DAJ904</t>
  </si>
  <si>
    <t>Control Unit</t>
  </si>
  <si>
    <t>HONDA &gt;&gt; 06302PT2000 | HONDA &gt;&gt; 06302PT3000 | HONDA &gt;&gt; 30120PM4A01 | HONDA &gt;&gt; 06302PT3004 | HONDA &gt;&gt; 30130PR4A02 | HONDA &gt;&gt; 06302PT2A00 | HONDA &gt;&gt; 06302PT3003 | HONDA &gt;&gt; 30130P54006 | HONDA &gt;&gt; 30120PT3004 | HONDA &gt;&gt; 30120PT3003 | HONDA &gt;&gt; 30120PT2004</t>
  </si>
  <si>
    <t>Gasket Set, cylinder head cover</t>
  </si>
  <si>
    <t>ELRING &gt;&gt; 920339 | PAYEN &gt;&gt; JN679 | AJUSA &gt;&gt; 56005700 | ELWIS ROYAL &gt;&gt; 9131513 | FAI AutoParts &gt;&gt; RC916S</t>
  </si>
  <si>
    <t>Thread Size,  &gt;&gt; M16X1,5</t>
  </si>
  <si>
    <t>HONDA &gt;&gt; 37760634005 | HONDA &gt;&gt; 37760PB2003 | SUZUKI &gt;&gt; 1768078000 | LUCAS ELECTRICAL &gt;&gt; SNJ603 | VALEO &gt;&gt; 820238 | GATES &gt;&gt; TH14387G1 | QUINTON HAZELL &gt;&gt; XEFS8 | TRISCAN &gt;&gt; 5432644 | TRISCAN &gt;&gt; 23550036 | DOYEN &gt;&gt; TH14387G1 | EPS &gt;&gt; 1850036 | KW &gt;&gt; 550036 | UNIPART &gt;&gt; BNP1883 | FACET &gt;&gt; 75036 | INTERMOTOR &gt;&gt; 50340 | CALORSTAT by Vernet &gt;&gt; 2644 | CALORSTAT by Vernet &gt;&gt; TS2644 | FAE &gt;&gt; 3715 | FAE &gt;&gt; 37450 | FAE &gt;&gt; 3745 | TOPRAN &gt;&gt; 101522 | ANGLI &gt;&gt; 1618 | MOTORAD &gt;&gt; 5036</t>
  </si>
  <si>
    <t>HONDA &gt;&gt; 37760634005 | HONDA &gt;&gt; 37760PB2003 | SUZUKI &gt;&gt; 1768078000 | LUCAS ELECTRICAL &gt;&gt; SNJ603 | VALEO &gt;&gt; 820238 | QUINTON HAZELL &gt;&gt; XEFS8 | EPS &gt;&gt; 1850036 | KW &gt;&gt; 550036 | UNIPART &gt;&gt; BNP1883 | INTERMOTOR &gt;&gt; 50340 | CALORSTAT by Vernet &gt;&gt; 2644 | FAE &gt;&gt; 37450 | FAE &gt;&gt; 3745 | FAE &gt;&gt; 3715 | ANGLI &gt;&gt; 1618 | MOTORAD &gt;&gt; 5036</t>
  </si>
  <si>
    <t>HONDA &gt;&gt; 37760PM3003 | HONDA &gt;&gt; 37760PA0000 | HONDA &gt;&gt; 37760PB2003 | HONDA &gt;&gt; 37760634005 | VALEO &gt;&gt; 820238 | HERTH+BUSS JAKOPARTS &gt;&gt; J5654000 | QUINTON HAZELL &gt;&gt; XEFS8 | PEX &gt;&gt; 370034 | JAPANPARTS &gt;&gt; IV400 | VEMO &gt;&gt; 26990014 | FACET &gt;&gt; 75036 | CALORSTAT by Vernet &gt;&gt; TS2644 | ERA &gt;&gt; 330174 | FAE &gt;&gt; 37450 | NIPPARTS &gt;&gt; J5654000 | FIRST LINE &gt;&gt; FTS80292</t>
  </si>
  <si>
    <t>for Art.No.,  &gt;&gt; 330174 | Number of ports,  &gt;&gt; 2</t>
  </si>
  <si>
    <t>HONDA &gt;&gt; 37760634005 | HONDA &gt;&gt; 37760PB2003 | SUZUKI &gt;&gt; 1768078000 | VALEO &gt;&gt; 820238 | FACET &gt;&gt; 75036 | ERA &gt;&gt; 330174B | ERA &gt;&gt; 330174A | ERA &gt;&gt; 330174HQ | FAE &gt;&gt; 37450 | STANDARD &gt;&gt; 50340</t>
  </si>
  <si>
    <t>Switch Unit, ignition system</t>
  </si>
  <si>
    <t>HONDA &gt;&gt; 06302PT2000 | HONDA &gt;&gt; 06302PT3000 | HONDA &gt;&gt; 30120PT3004 | HONDA &gt;&gt; 30130P54006 | HONDA &gt;&gt; 30120PT2004 | HONDA &gt;&gt; 30120PT3003 | HONDA &gt;&gt; 06302PT2A00 | HONDA &gt;&gt; 06302PTA00 | HONDA &gt;&gt; 30120PR3003 | HONDA &gt;&gt; 30120PMA01 | HONDA &gt;&gt; 06302PT3A00 | HONDA &gt;&gt; 30130PR3006 | HONDA &gt;&gt; 30130PT2006 | ROVER &gt;&gt; NJW100030 | ROVER &gt;&gt; NJL100040 | ROVER &gt;&gt; NJL100030 | VALEO &gt;&gt; 2595041 | VALEO &gt;&gt; 245550 | EPS &gt;&gt; 1965052 | KW &gt;&gt; 465052 | INTERMOTOR &gt;&gt; 15750</t>
  </si>
  <si>
    <t>HONDA &gt;&gt; 06302PT2000 | HONDA &gt;&gt; 06302PT2A00 | HONDA &gt;&gt; 06302PT3000 | HONDA &gt;&gt; 30130P54006 | HONDA &gt;&gt; 30130PR3006 | HONDA &gt;&gt; 30120PT3004 | HONDA &gt;&gt; 30120PT3003 | HONDA &gt;&gt; 30120PT2004 | HONDA &gt;&gt; 06302PT2A01 | HONDA &gt;&gt; 06302PTA00 | HONDA &gt;&gt; 30120PR3003 | HONDA &gt;&gt; 06302PT3A00 | HONDA &gt;&gt; 30120PMA01 | HONDA &gt;&gt; 30120PM5A01 | HONDA &gt;&gt; 06302PT3004 | HONDA &gt;&gt; 30130PR4A02 | HONDA &gt;&gt; 30130PT2006 | ROVER &gt;&gt; NJW100030 | ROVER &gt;&gt; NJL100040 | ROVER &gt;&gt; NJL100030 | HELLA &gt;&gt; 5DA006623401 | SONNENSCHEIN &gt;&gt; 1965052 | QUINTON HAZELL &gt;&gt; XEI44 | HERTH+BUSS ELPARTS &gt;&gt; 19010075 | MAGNETI MARELLI &gt;&gt; 940038550010 | MEYLE &gt;&gt; 31148850001 | VEMO &gt;&gt; V26700012 | EPS &gt;&gt; 1965052 | BOUGICORD &gt;&gt; 160926 | FACET &gt;&gt; 94052 | HITACHI &gt;&gt; 138068 | STANDARD &gt;&gt; 15750 | STANDARD &gt;&gt; IIM006</t>
  </si>
  <si>
    <t>Weight, kg &gt;&gt; 0,084 | Quantity required,  &gt;&gt; 1</t>
  </si>
  <si>
    <t>HONDA &gt;&gt; 06302PT2000 | HONDA &gt;&gt; 06302PT3000 | HONDA &gt;&gt; 30120PT2004 | HONDA &gt;&gt; 30120PT3003 | HONDA &gt;&gt; PT2PM5PR3PM6 | HONDA &gt;&gt; 30120PM5A01 | HONDA &gt;&gt; 30120PR3003 | HONDA &gt;&gt; ADH21451 | HONDA &gt;&gt; 06302PT2A00 | HONDA &gt;&gt; 06302PT3004 | HONDA &gt;&gt; 30120PM4A01 | HONDA &gt;&gt; 06302PT3003 | HONDA &gt;&gt; 30130PR4A02 | HONDA &gt;&gt; 30120PT3004 | HONDA &gt;&gt; 30130P54006 | HELLA &gt;&gt; 5DA006623401 | BERU &gt;&gt; ZM023 | VALEO &gt;&gt; 245550 | QUINTON HAZELL &gt;&gt; XEI44 | HERTH+BUSS ELPARTS &gt;&gt; 19010075 | DELPHI &gt;&gt; DS10014 | METZGER &gt;&gt; 0882005 | MAGNETI MARELLI &gt;&gt; 940038550010 | MEYLE &gt;&gt; 31148850001 | VEMO &gt;&gt; V26700012 | FACET &gt;&gt; 94052 | ERA &gt;&gt; 885058 | ERA &gt;&gt; 885024 | ERA &gt;&gt; 216130 | ERA &gt;&gt; 215889 | BLUE PRINT &gt;&gt; ADH21451 | NPS &gt;&gt; H537A03 | QH Talbros &gt;&gt; XEI44</t>
  </si>
  <si>
    <t>for manufacturer,  &gt;&gt; OE  HONDA | Version,  &gt;&gt; Endstufe |  &gt;&gt; 5 Years Guarantee</t>
  </si>
  <si>
    <t>HONDA &gt;&gt; 06302PT3000 | HONDA &gt;&gt; 06302PT3004 | HONDA &gt;&gt; 30120PT3004 | HONDA &gt;&gt; 30120PT3003 | HONDA &gt;&gt; 30120PR3003 | HONDA &gt;&gt; 30120PT2004 | HONDA &gt;&gt; 06302PT2A01 | HONDA &gt;&gt; 30120PMA01 | HONDA &gt;&gt; 30120PM5A01 | HONDA &gt;&gt; 06302PT2A00 | HONDA &gt;&gt; 06302PT2A0 | HONDA &gt;&gt; 06302PT2000 | HONDA &gt;&gt; 06302PT3A00 | HONDA &gt;&gt; 0632PT2A00 | HONDA &gt;&gt; 30130P54006 | HONDA &gt;&gt; 30130PR4A02 | ROVER &gt;&gt; NJL100040 | HELLA &gt;&gt; 5DA006623401 | HELLA &gt;&gt; 5DA006623101 | BERU &gt;&gt; ZM023 | BERU &gt;&gt; 040401023 | BERU &gt;&gt; 40401023 | BERU &gt;&gt; 0040401023 | LUCAS ELECTRICAL &gt;&gt; DAJ904 | VALEO &gt;&gt; 245550 | BOSCH &gt;&gt; BIM079 | BREMI &gt;&gt; 14202 | HERTH+BUSS ELPARTS &gt;&gt; 19010075 | METZGER &gt;&gt; 0882005 | MAGNETI MARELLI &gt;&gt; 000094038550 | MAGNETI MARELLI &gt;&gt; 940038550010 | MAGNETI MARELLI &gt;&gt; 940038550 | BOUGICORD &gt;&gt; 160926 | WEHRLE&amp;S &gt;&gt; 13138068 | INTERMOTOR &gt;&gt; 15750 | STANDARD &gt;&gt; 15750 | STANDARD &gt;&gt; IIM006</t>
  </si>
  <si>
    <t>HONDA &gt;&gt; 06302PT3000 | HELLA &gt;&gt; 5DA006623401 | VEMO &gt;&gt; V26700012 | HUECO &gt;&gt; 138068 | FACET &gt;&gt; 94052 | ECHLIN INTERNATIONAL &gt;&gt; TP325 | UNIPOINT &gt;&gt; IM704</t>
  </si>
  <si>
    <t>HONDA &gt;&gt; 19200P01003 | HONDA &gt;&gt; 19200P01004 | HONDA &gt;&gt; 19200PM3013 | HONDA &gt;&gt; 19200P1JE02 | HONDA &gt;&gt; 19200PM3003 | ROVER &gt;&gt; GWP2157 | ROVER &gt;&gt; GWP2161 | ROVER &gt;&gt; GWP2163 | QUINTON HAZELL &gt;&gt; QCP3060 | MGA &gt;&gt; PA428 | FEBI BILSTEIN &gt;&gt; 17336</t>
  </si>
  <si>
    <t>AIRTEX</t>
  </si>
  <si>
    <t>Weight, kg &gt;&gt; 0,72 | Teeth Quant.,  &gt;&gt; 19</t>
  </si>
  <si>
    <t>AUSTIN &gt;&gt; GWP2157 | AUSTIN &gt;&gt; GWP2161 | AUSTIN &gt;&gt; GWP2163 | CITROEN &gt;&gt; 1612700380 | HONDA &gt;&gt; 19200PO1003 | HONDA &gt;&gt; 19200PM3014 | HONDA &gt;&gt; 19200P01004 | HONDA &gt;&gt; 19200PM3004 | HONDA &gt;&gt; 19200P01003 | HONDA &gt;&gt; 19200PM3013 | HONDA &gt;&gt; 19200PM3000 | HONDA &gt;&gt; 19200PM3003 | HONDA &gt;&gt; 19200P10A02 | HONDA &gt;&gt; 19200P1JE02 | HONDA &gt;&gt; 19200PO1004 | TOYOTA &gt;&gt; 1610087706 | TOYOTA &gt;&gt; 1610087705 | VALEO &gt;&gt; 506045 | RUVILLE &gt;&gt; 67450 | BOSCH &gt;&gt; 1987949706 | SKF &gt;&gt; VKPC87404 | QUINTON HAZELL &gt;&gt; QCP3060 | DELPHI &gt;&gt; WP1730 | FEBI BILSTEIN &gt;&gt; 17336 | BUGATTI &gt;&gt; PA5201 | METELLI &gt;&gt; PA428 | JAPANPARTS &gt;&gt; PQ419 | AIRTEX &gt;&gt; AW9130 | AIRTEX &gt;&gt; WP756 | HEPU &gt;&gt; P777 | HEPU &gt;&gt; P046 | GMB &gt;&gt; GWHO26A | NPW &gt;&gt; I52 | NPW &gt;&gt; H25 | DOLZ &gt;&gt; M144 | KWP &gt;&gt; 10428 | SALERI &gt;&gt; PA681P | ASHIKA &gt;&gt; 3504419 | NIPPARTS &gt;&gt; J1514019 | BLUE PRINT &gt;&gt; ADH29116 | BLUE PRINT &gt;&gt; WP5285 | FIRST LINE &gt;&gt; FWP1486 | CECAUTO &gt;&gt; 2513680 | CECAUTO &gt;&gt; 251368</t>
  </si>
  <si>
    <t>FLENNOR</t>
  </si>
  <si>
    <t>Weight, kg &gt;&gt; 0,72</t>
  </si>
  <si>
    <t>AUSTIN &gt;&gt; GWP2157 | AUSTIN &gt;&gt; GWP2161 | AUSTIN &gt;&gt; GWP2163 | HONDA &gt;&gt; 19200P1JE02 | HONDA &gt;&gt; 19200PO1004 | HONDA &gt;&gt; 19200PO1003 | HONDA &gt;&gt; 19200PM3014 | HONDA &gt;&gt; 19200P10A02 | HONDA &gt;&gt; 19200P01003 | HONDA &gt;&gt; 19200P01004 | HONDA &gt;&gt; 19200PM3013 | HONDA &gt;&gt; 19200PM3004 | HONDA &gt;&gt; 19200PM3000 | HONDA &gt;&gt; 19200PM3003 | TOYOTA &gt;&gt; 1610087706 | TOYOTA &gt;&gt; 1610087705 | RUVILLE &gt;&gt; 67450 | BOSCH &gt;&gt; 1987949706 | SKF &gt;&gt; VKPC87404 | QUINTON HAZELL &gt;&gt; QCP3060 | DELPHI &gt;&gt; WP1730 | BUGATTI &gt;&gt; PA5201 | METELLI &gt;&gt; PA428 | JAPANPARTS &gt;&gt; PQ419 | AIRTEX &gt;&gt; AW9130 | AIRTEX &gt;&gt; WP756 | HEPU &gt;&gt; P046 | HEPU &gt;&gt; P777 | GMB &gt;&gt; GWHO26A | NPW &gt;&gt; I52 | NPW &gt;&gt; H25 | DOLZ &gt;&gt; M144 | KWP &gt;&gt; 10428 | SALERI &gt;&gt; PA681P | ASHIKA &gt;&gt; 3504419 | NIPPARTS &gt;&gt; J1514019 | BLUE PRINT &gt;&gt; ADH29116 | BLUE PRINT &gt;&gt; WP5285 | FIRST LINE &gt;&gt; FWP1486 | CECAUTO &gt;&gt; 2513680 | CECAUTO &gt;&gt; 251368</t>
  </si>
  <si>
    <t xml:space="preserve"> &gt;&gt; Mechanical | Teeth Quant.,  &gt;&gt; 19 |  &gt;&gt; for toothed belt drive</t>
  </si>
  <si>
    <t>HONDA &gt;&gt; 19200PM3000 | HONDA &gt;&gt; 19200PM3004 | HONDA &gt;&gt; 19200PO1004 | HONDA &gt;&gt; 19200PO1003 | HONDA &gt;&gt; 19200PM3003 | HONDA &gt;&gt; 19200PM3014 | HONDA &gt;&gt; 19200PM3013 | ISUZU &gt;&gt; 5860036380 | ISUZU &gt;&gt; 5860036370 | HERTH+BUSS JAKOPARTS &gt;&gt; J1514019 | JAPANPARTS &gt;&gt; PQ419 | KAVO PARTS &gt;&gt; HW1808 | SALERI &gt;&gt; PA681P | ASHIKA &gt;&gt; 3504419 | BLUE PRINT &gt;&gt; ADH29122 | BLUE PRINT &gt;&gt; ADH29116 | COMLINE &gt;&gt; CHN21006 | NPS &gt;&gt; H151A19 | JAPKO &gt;&gt; 35419</t>
  </si>
  <si>
    <t>Weight, kg &gt;&gt; 0,720 |  &gt;&gt; Mechanical | Teeth Quant.,  &gt;&gt; 19 | Quantity required,  &gt;&gt; 1 |  &gt;&gt; for toothed belt drive</t>
  </si>
  <si>
    <t>HONDA &gt;&gt; 17336FEBI | HONDA &gt;&gt; 19200P01003 | HONDA &gt;&gt; 19200P01004 | HONDA &gt;&gt; 19200PO1003 | HONDA &gt;&gt; 19200PM3014 | HONDA &gt;&gt; 3504419ASHIKA | HONDA &gt;&gt; 19200PM3004 | HONDA &gt;&gt; 19200PM3013 | HONDA &gt;&gt; WP1730DELPHI | HONDA &gt;&gt; VKPC87404SKF | HONDA &gt;&gt; PQ419JAPANPARTS | HONDA &gt;&gt; 19200P10A02 | HONDA &gt;&gt; 19200PM3003 | HONDA &gt;&gt; 19200PM30034 | HONDA &gt;&gt; PA681PSALERI | HONDA &gt;&gt; 67450RUVILLE | HONDA &gt;&gt; 19200PO10034 | HONDA &gt;&gt; 19200PM3000 | HONDA &gt;&gt; J1514019HBJAKOPA | HONDA &gt;&gt; 506045VALEO | HONDA &gt;&gt; HW1808JWP | HONDA &gt;&gt; 19200PO1004 | ISUZU &gt;&gt; 5860036380 | ISUZU &gt;&gt; 5860036370 | SPIDAN &gt;&gt; 60353 | HELLA &gt;&gt; 8MP376808871 | HELLA &gt;&gt; 8MP376802011 | HELLA &gt;&gt; 8MP376801311 | VALEO &gt;&gt; 506045 | RUVILLE &gt;&gt; 67450 | RUVILLE &gt;&gt; 67402 | BOSCH &gt;&gt; 1987949706 | SKF &gt;&gt; VKPC87404 | HERTH+BUSS JAKOPARTS &gt;&gt; J1514051 | HERTH+BUSS JAKOPARTS &gt;&gt; J1514019 | QUINTON HAZELL &gt;&gt; QCP3234 | QUINTON HAZELL &gt;&gt; QCP3060 | PEX &gt;&gt; 190407 | BORG &amp; BECK &gt;&gt; BWP1486 | DELPHI &gt;&gt; WP1730 | MAGNETI MARELLI &gt;&gt; 352316170445 | MAGNETI MARELLI &gt;&gt; 350981613000 | BEHR HELLA SERVICE &gt;&gt; 8MP376808871 | BEHR HELLA SERVICE &gt;&gt; 8MP376802011 | BEHR HELLA SERVICE &gt;&gt; 8MP376801311 | TRISCAN &gt;&gt; 860040004 | TRISCAN &gt;&gt; 860040908 | TRISCAN &gt;&gt; 860040003 | BUGATTI &gt;&gt; PA5201 | AURADIA &gt;&gt; HDW001 | METELLI &gt;&gt; 240925 | METELLI &gt;&gt; 240428 | OPTIMAL &gt;&gt; AQ1332 | MAPCO &gt;&gt; 21521 | MAPCO &gt;&gt; 21517 | MEYLE &gt;&gt; 31131920001 | JWP &gt;&gt; HW1808 | JAPANPARTS &gt;&gt; PQ419 | AIRTEX &gt;&gt; 1368 | HEPU &gt;&gt; PK07831 | HEPU &gt;&gt; PK07830 | HEPU &gt;&gt; PK00460 | HEPU &gt;&gt; P046 | GK &gt;&gt; 984046 | VEMO &gt;&gt; V2650005 | KOLBENSCHMIDT &gt;&gt; 50005094 | KOLBENSCHMIDT &gt;&gt; 50005084 | GMB &gt;&gt; GWHO26A | LPR &gt;&gt; WP0327 | KAVO PARTS &gt;&gt; HW1808 | HUTCHINSON &gt;&gt; WP0013V | DOLZ &gt;&gt; M144 | GRAF &gt;&gt; PA925 | GRAF &gt;&gt; PA428 | KWP &gt;&gt; 10428 | KWP &gt;&gt; 10925 | AISIN &gt;&gt; WPH002 | FLENNOR &gt;&gt; FWP70531 | ASHIKA &gt;&gt; 3504419 | Saleri SIL &gt;&gt; PA681P | NIPPARTS &gt;&gt; J1514024 | NIPPARTS &gt;&gt; J1514019 | MGA &gt;&gt; PA925 | MGA &gt;&gt; PA428 | SASIC &gt;&gt; 9001005 | IPD &gt;&gt; P046 | FAI AutoParts &gt;&gt; WP6152 | FAI AutoParts &gt;&gt; WP6134 | JP GROUP &gt;&gt; 3414100209 | JP GROUP &gt;&gt; 4414100409 | KAGER &gt;&gt; 330642 | KAGER &gt;&gt; 330167 | AUTEX &gt;&gt; 984046 | BLUE PRINT &gt;&gt; ADH29122 | BLUE PRINT &gt;&gt; ADH29116 | FAI &gt;&gt; WP1481 | GGT &gt;&gt; PA10584 | AQUAPLUS &gt;&gt; 852560 | SOLID AUTO (UK) &gt;&gt; H123013 | FIRST LINE &gt;&gt; FWP1486 | COMLINE &gt;&gt; CHN21006 | NPS &gt;&gt; H151A24 | NPS &gt;&gt; H151A19 | IPS Parts &gt;&gt; IPW7419 | BGA &gt;&gt; CP2736 | BGA &gt;&gt; CP18500 | JAPKO &gt;&gt; 35419 | KAISHIN &gt;&gt; GWHO26A | QH Talbros &gt;&gt; QCP3234 | QH Talbros &gt;&gt; QCP3060</t>
  </si>
  <si>
    <t>Glow Ignition System</t>
  </si>
  <si>
    <t>Manufacturer Restriction &gt;&gt; Normal | Engine Code &gt;&gt; ZC</t>
  </si>
  <si>
    <t>Engine Code &gt;&gt; ZC</t>
  </si>
  <si>
    <t>Engine Code &gt;&gt; ZC | Oil Fill Quantity [l] &gt;&gt; 4 | Recommended replace interval [km] &gt;&gt; 10000</t>
  </si>
  <si>
    <t>Engine Code &gt;&gt; 5/1 | Engine Code &gt;&gt; ZC</t>
  </si>
  <si>
    <t>Engine Code &gt;&gt; ZC | Oil Fill Quantity [l] &gt;&gt; 4</t>
  </si>
  <si>
    <t>Transmission Number &gt;&gt; 5/1 | Transmission Number &gt;&gt; ZC</t>
  </si>
  <si>
    <t>AUDI &gt;&gt; 068121039M | AUDI &gt;&gt; 048903137 | AUDI &gt;&gt; 053903137 | AUDI &gt;&gt; 046145271A | AUDI &gt;&gt; 028145271F | AUSTIN &gt;&gt; 151515 | AUSTIN &gt;&gt; 13H923 | AUSTIN &gt;&gt; 13H8310 | AUSTIN &gt;&gt; 596433 | AUSTIN &gt;&gt; TKC386 | AUSTIN &gt;&gt; IH1001 | AUSTIN &gt;&gt; TCK0366 | AUSTIN &gt;&gt; 1H1001 | AUSTIN &gt;&gt; IG2716 | AUSTIN &gt;&gt; GFB10900 | AUSTIN &gt;&gt; GFB176 | AUSTIN &gt;&gt; GFB103 | AUSTIN &gt;&gt; AEA489 | AUSTIN &gt;&gt; 1G2716 | BEDFORD &gt;&gt; 90091743 | BEDFORD &gt;&gt; 1340671VBELT | BMW &gt;&gt; 32421711065 | BMW &gt;&gt; 32411266788 | BMW &gt;&gt; 32411258276 | DAIHATSU &gt;&gt; 9932100898 | DAIHATSU &gt;&gt; 9932100895 | DAIHATSU &gt;&gt; 2611251120 | DAIMLER &gt;&gt; C29607 | FIAT &gt;&gt; 7301775 | FIAT &gt;&gt; 7302203 | FORD &gt;&gt; V86BB6C301AA | FORD &gt;&gt; 1952516 | FORD &gt;&gt; 117200F300 | FORD &gt;&gt; 1634741 | HONDA &gt;&gt; 56992PG6004 | HONDA &gt;&gt; 56992PH1004 | HONDA &gt;&gt; 56992PH3004 | HONDA &gt;&gt; 56992PH1003 | HONDA &gt;&gt; 56992PC6004 | HONDA &gt;&gt; 56992PG6003 | HONDA &gt;&gt; 56992PC6003 | HONDA &gt;&gt; 56992PC60030 | INNOCENTI &gt;&gt; 13H923 | INNOCENTI &gt;&gt; 34402332 | JAGUAR &gt;&gt; C29607 | MAZDA &gt;&gt; N30413715 | MERCEDES-BENZ &gt;&gt; 95X900N275 | MERCEDES-BENZ &gt;&gt; 0079977892 | MERCEDES-BENZ &gt;&gt; 007753009502 | MERCEDES-BENZ &gt;&gt; 0069970292 | MERCEDES-BENZ &gt;&gt; 0009978492 | MERCEDES-BENZ &gt;&gt; A0079977892 | MERCEDES-BENZ &gt;&gt; A007753009502 | MERCEDES-BENZ &gt;&gt; A0069970292 | MERCEDES-BENZ &gt;&gt; A0009978492 | MG &gt;&gt; 151515 | MG &gt;&gt; 13H923 | MG &gt;&gt; 596433 | MG &gt;&gt; 13H8310 | MG &gt;&gt; TKC386 | MG &gt;&gt; TCK0366 | MG &gt;&gt; IH1001 | MG &gt;&gt; IG2716 | MG &gt;&gt; GFB176 | MG &gt;&gt; 1H1001 | MG &gt;&gt; GFB10900 | MG &gt;&gt; GFB103 | MG &gt;&gt; 1G2716 | MG &gt;&gt; AEA489 | MORRIS &gt;&gt; 151515 | MORRIS &gt;&gt; 13H923 | MORRIS &gt;&gt; 596433 | MORRIS &gt;&gt; 13H8310 | MORRIS &gt;&gt; TKC386 | MORRIS &gt;&gt; TCK0366 | MORRIS &gt;&gt; IH1001 | MORRIS &gt;&gt; IG2716 | MORRIS &gt;&gt; GFB176 | MORRIS &gt;&gt; 1H1001 | MORRIS &gt;&gt; GFB10900 | MORRIS &gt;&gt; GFB103 | MORRIS &gt;&gt; 1G2716 | MORRIS &gt;&gt; AEA489 | NISSAN &gt;&gt; 0211790513 | NISSAN &gt;&gt; 0211790013 | NISSAN &gt;&gt; 11720PO300 | NISSAN &gt;&gt; 11720N9700 | NISSAN &gt;&gt; 11720N8500 | NISSAN &gt;&gt; 11720E3005 | NISSAN &gt;&gt; 11720E3001 | NISSAN &gt;&gt; 117200F300 | OPEL &gt;&gt; 90352615 | OPEL &gt;&gt; 90448698 | OPEL &gt;&gt; 90091743 | OPEL &gt;&gt; 11053599 | OPEL &gt;&gt; 09292427 | OPEL &gt;&gt; 1340739 | OPEL &gt;&gt; 1340703 | OPEL &gt;&gt; 1340697 | OPEL &gt;&gt; 1340671VBELT | OPEL &gt;&gt; 1336671 | OPEL &gt;&gt; 3013022 | OPEL &gt;&gt; 3013012 | PEUGEOT &gt;&gt; 575032 | PEUGEOT &gt;&gt; 575029 | PEUGEOT &gt;&gt; 574921 | PEUGEOT &gt;&gt; 574911 | PEUGEOT &gt;&gt; 400325 | PORSCHE &gt;&gt; 047903137A | RENAULT &gt;&gt; 7700630569 | ROVER &gt;&gt; 151515 | ROVER &gt;&gt; 13H923 | ROVER &gt;&gt; 596433 | ROVER &gt;&gt; 13H8310 | ROVER &gt;&gt; TKC386 | ROVER &gt;&gt; TCK0366 | ROVER &gt;&gt; IH1001 | ROVER &gt;&gt; IG2716 | ROVER &gt;&gt; GFB176 | ROVER &gt;&gt; 1H1001 | ROVER &gt;&gt; GFB10900 | ROVER &gt;&gt; GFB103 | ROVER &gt;&gt; 1G2716 | ROVER &gt;&gt; AEA489 | SEAT &gt;&gt; 0019973792 | SUBARU &gt;&gt; 809110380 | SUBARU &gt;&gt; 809110290 | TALBOT &gt;&gt; 55421100 | TOYOTA &gt;&gt; 9952110897 | TOYOTA &gt;&gt; 9932150895 | TOYOTA &gt;&gt; 9932100895 | TOYOTA &gt;&gt; 9091602074 | TOYOTA &gt;&gt; 9952110902 | TRIUMPH &gt;&gt; 13H923 | TRIUMPH &gt;&gt; 596433 | TRIUMPH &gt;&gt; 13H8310 | TRIUMPH &gt;&gt; TKC386 | TRIUMPH &gt;&gt; TCK0366 | TRIUMPH &gt;&gt; IH1001 | TRIUMPH &gt;&gt; IG2716 | TRIUMPH &gt;&gt; GFB176 | TRIUMPH &gt;&gt; 1H1001 | TRIUMPH &gt;&gt; GFB10900 | TRIUMPH &gt;&gt; GFB103 | TRIUMPH &gt;&gt; 1G2716 | TRIUMPH &gt;&gt; AEA489 | TRIUMPH &gt;&gt; 151515 | VAUXHALL &gt;&gt; 90448698 | VAUXHALL &gt;&gt; 90352615 | VAUXHALL &gt;&gt; 90091743 | VAUXHALL &gt;&gt; 09292427 | VAUXHALL &gt;&gt; 1340739 | VAUXHALL &gt;&gt; 1340703 | VAUXHALL &gt;&gt; 1340671VBELT | VAUXHALL &gt;&gt; 3013022 | VW &gt;&gt; 111903137E | VW &gt;&gt; 111903137D | VW &gt;&gt; 111903137C | VW &gt;&gt; 111903137B | VW &gt;&gt; 068121039M | VW &gt;&gt; 062145271A | VW &gt;&gt; 046903137 | FERRARI &gt;&gt; 125772</t>
  </si>
  <si>
    <t>AUDI &gt;&gt; 035260849A | AUDI &gt;&gt; 063903137 | BEDFORD &gt;&gt; 93891618 | BEDFORD &gt;&gt; 94411860 | BEDFORD &gt;&gt; 94222880 | BMW &gt;&gt; 64551734669 | DAIHATSU &gt;&gt; 9091602052 | DAIHATSU &gt;&gt; 9091602060 | DAIHATSU &gt;&gt; 9933200890 | DAIHATSU &gt;&gt; 9932200890 | FORD &gt;&gt; 1511349 | FORD &gt;&gt; 85TF6C301F1A | FORD &gt;&gt; 85TF6C301F2A | FORD &gt;&gt; 85TF6C301FA | FORD &gt;&gt; EJ3V0897 | FORD &gt;&gt; 722F8620DC | FORD &gt;&gt; 742F8620AA | FORD &gt;&gt; 6158124 | FORD &gt;&gt; 6144781 | FORD &gt;&gt; 6158123 | HONDA &gt;&gt; 38920PG6006 | HONDA &gt;&gt; 38920PG6003 | HONDA &gt;&gt; 38920PG6004 | ISUZU &gt;&gt; 8942228800 | ISUZU &gt;&gt; 8942252090 | ISUZU &gt;&gt; 8941116870 | ISUZU &gt;&gt; 8941675890 | ISUZU &gt;&gt; 8941751700 | ISUZU &gt;&gt; 8941316290 | ISUZU &gt;&gt; 8924252090 | ISUZU &gt;&gt; 4291734 | ISUZU &gt;&gt; 94411860 | ISUZU &gt;&gt; 94222880 | ISUZU &gt;&gt; 93891618 | ISUZU &gt;&gt; 91145737 | MAZDA &gt;&gt; RF7118381B | MAZDA &gt;&gt; RF7118381C | MAZDA &gt;&gt; RF7118381A | MAZDA &gt;&gt; RF7118381 | MAZDA &gt;&gt; RF2L18380B | MAZDA &gt;&gt; RF7115908 | MAZDA &gt;&gt; R2S215907 | MAZDA &gt;&gt; RF2L18380A | MAZDA &gt;&gt; PN4018381 | MAZDA &gt;&gt; B6SF18381A | MAZDA &gt;&gt; B6SF18381B | MAZDA &gt;&gt; B61H18381A | MAZDA &gt;&gt; B6S718381A | MAZDA &gt;&gt; B6S718381B | MAZDA &gt;&gt; 227618381B | MERCEDES-BENZ &gt;&gt; A0059977692 | MERCEDES-BENZ &gt;&gt; 0059977692 | MITSUBISHI &gt;&gt; MB272651 | MITSUBISHI &gt;&gt; MB167065 | NISSAN &gt;&gt; 0211790023 | NISSAN &gt;&gt; 1172005E15 | NISSAN &gt;&gt; 1172005E10 | NISSAN &gt;&gt; 0211791023 | NISSAN &gt;&gt; 11920V2000 | NISSAN &gt;&gt; 1192028L00 | NISSAN &gt;&gt; 1172005E05 | NISSAN &gt;&gt; 1175005E10KE | NISSAN &gt;&gt; 1175005E10 | NISSAN &gt;&gt; 1172005E00 | NISSAN &gt;&gt; 0211790526 | NISSAN &gt;&gt; 1175005E00 | NISSAN &gt;&gt; A1720V2010 | NISSAN &gt;&gt; 11720Y4000 | NISSAN &gt;&gt; 11720W0710 | NISSAN &gt;&gt; 11720V2010 | NISSAN &gt;&gt; 0211790525 | NISSAN &gt;&gt; 11720P8000 | NISSAN &gt;&gt; 1172083000 | NISSAN &gt;&gt; 0211788523 | NISSAN &gt;&gt; 1172029500 | NISSAN &gt;&gt; 0211790523 | NISSAN &gt;&gt; 1172028L01 | NISSAN &gt;&gt; 1172016A02 | OPEL &gt;&gt; 1340682 | OPEL &gt;&gt; 9201832 | PEUGEOT &gt;&gt; 645701 | TOYOTA &gt;&gt; 9091602061 | TOYOTA &gt;&gt; 9091602060 | TOYOTA &gt;&gt; 9091602055 | TOYOTA &gt;&gt; 9087108905 | TOYOTA &gt;&gt; 9952210904 | TOYOTA &gt;&gt; 9952210901 | TOYOTA &gt;&gt; 9952210900 | TOYOTA &gt;&gt; 9952210892 | TOYOTA &gt;&gt; 9952210890 | TOYOTA &gt;&gt; 9933260905 | TOYOTA &gt;&gt; 9933210905 | TOYOTA &gt;&gt; 9933210890 | TOYOTA &gt;&gt; 993321088078 | TOYOTA &gt;&gt; 9933200905 | TOYOTA &gt;&gt; 9933210880 | TOYOTA &gt;&gt; 9933200900 | TOYOTA &gt;&gt; 993320089001 | TOYOTA &gt;&gt; 9933200890 | TOYOTA &gt;&gt; 9932200890 | TOYOTA &gt;&gt; 9932200900 | VAUXHALL &gt;&gt; 1340682 | VAUXHALL &gt;&gt; 4291734 | VAUXHALL &gt;&gt; 94222880 | VAUXHALL &gt;&gt; 93891618 | VAUXHALL &gt;&gt; 9201832 | VAUXHALL &gt;&gt; 91145737 | VOLVO &gt;&gt; 978383 | VW &gt;&gt; 063903137 | KIA &gt;&gt; 0K65B15907C | ACURA &gt;&gt; 38920PG6004</t>
  </si>
  <si>
    <t>Mixture Formation</t>
  </si>
  <si>
    <t>Sensor, oil temperature| Sender Unit, coolant temperature| Sender Unit, coolant temperature</t>
  </si>
  <si>
    <t>, terminal &gt;&gt; 2 | Housing Colour,  &gt;&gt; Black | Thread Size,  &gt;&gt; M 12x1,5</t>
  </si>
  <si>
    <t>HONDA &gt;&gt; 37870PJ7003 | HONDA &gt;&gt; 48160P6K004 | HONDA &gt;&gt; 37870PK2005 | ISUZU &gt;&gt; 5862028470 | ROVER &gt;&gt; MEK100070 | ROVER &gt;&gt; MEK100120 | HELLA &gt;&gt; 6PT009107511 | UNIPART &gt;&gt; GTR210</t>
  </si>
  <si>
    <t>Technical Information Number &gt;&gt; 42301</t>
  </si>
  <si>
    <t>Technical Information Number &gt;&gt; 787E9</t>
  </si>
  <si>
    <t xml:space="preserve"> &gt;&gt; Screw-on Filter | Inner Diameter 2, mm &gt;&gt; 54,5 | Seal diam., mm &gt;&gt; 62,9 | Housing Diameter, mm &gt;&gt; 65,5 | Height, mm &gt;&gt; 86,5 | Port Thread,  &gt;&gt; M20x1,5 | Recommended Special Tools,  &gt;&gt; OCS 4</t>
  </si>
  <si>
    <t>FORD &gt;&gt; E92Z6731A | FORD &gt;&gt; 5016958 | FORD &gt;&gt; 5022738 | FORD &gt;&gt; 5027149 | FORD &gt;&gt; 3521840 | FORD &gt;&gt; F12Z6731B | FORD &gt;&gt; 3891893 | NISSAN &gt;&gt; 1520831U01 | NISSAN &gt;&gt; 1520831U0A | NISSAN &gt;&gt; 1520831U00 | NISSAN &gt;&gt; 1520831U0B | KIA &gt;&gt; ORF0323802B | KIA &gt;&gt; OFE3R14302 | KIA &gt;&gt; OJE3R14302 | KIA &gt;&gt; K90014300A | KIA &gt;&gt; 0RF0323802B | KIA &gt;&gt; FE3R14302 | KIA &gt;&gt; 0FE3R14302 | FIAT-HITACHI &gt;&gt; 4294838 | MANN-FILTER &gt;&gt; W6102 | MANN-FILTER &gt;&gt; W61081 | MANN-FILTER &gt;&gt; W81883 | BOSCH &gt;&gt; P2036 | BOSCH &gt;&gt; 0986452061 | BOSCH &gt;&gt; 0451103364 | BOSCH &gt;&gt; 0986452041 | BOSCH &gt;&gt; 0451103111 | BOSCH &gt;&gt; 0986452036 | BOSCH &gt;&gt; 0986452007 | BOSCH &gt;&gt; 0986B00023 | BOSCH &gt;&gt; 0451103316 | BOSCH &gt;&gt; 0986B00015 | BOSCH &gt;&gt; P2041 | CHAMPION &gt;&gt; F116 | PUROLATOR &gt;&gt; L14620 | PUROLATOR &gt;&gt; FCO292 | PUROLATOR &gt;&gt; PER4620 | PUROLATOR &gt;&gt; PER4001 | PUROLATOR &gt;&gt; PER4458 | PUROLATOR &gt;&gt; PER292 | HERTH+BUSS JAKOPARTS &gt;&gt; J1313015 | HERTH+BUSS JAKOPARTS &gt;&gt; J1311019 | QUINTON HAZELL &gt;&gt; WL7164 | QUINTON HAZELL &gt;&gt; WL7134 | FRAM &gt;&gt; PH7313 | FRAM &gt;&gt; PH5317 | FRAM &gt;&gt; PH5343 | FRAM &gt;&gt; PH2867 | FRAM &gt;&gt; PH4913 | HENGST FILTER &gt;&gt; H97W08 | SogefiPro &gt;&gt; FT5405 | SOFIMA &gt;&gt; S3261R | AMC Filter &gt;&gt; NO242C | CLEAN FILTERS &gt;&gt; DO853A | BALDWIN &gt;&gt; B161S | BALDWIN &gt;&gt; B1401 | COOPERS &gt;&gt; Z916 | COOPERS &gt;&gt; Z193 | COOPERS &gt;&gt; Z1344 | COOPERS &gt;&gt; Z1128 | CROSLAND &gt;&gt; 2112 | CROSLAND &gt;&gt; 2095 | TEHO &gt;&gt; OK311 | TEHO &gt;&gt; 4311 | WIX FILTERS &gt;&gt; 51344 | WIX FILTERS &gt;&gt; 51338 | ALCO FILTER &gt;&gt; SP959 | FILTRON &gt;&gt; OP597 | FILTRON &gt;&gt; OP6323 | FRAD &gt;&gt; 9610827110 | FRAD &gt;&gt; 9610816110 | KOLBENSCHMIDT &gt;&gt; 108OS | KOLBENSCHMIDT &gt;&gt; 50013108 | UFI &gt;&gt; 2326000 | FLEETGUARD &gt;&gt; LF3462 | MOTORCRAFT &gt;&gt; FL821 | MOTORCRAFT &gt;&gt; FL814 | MOTORCRAFT &gt;&gt; EFL487 | MOTORCRAFT &gt;&gt; EFL383 | ACDelco &gt;&gt; PF1222 | PBR &gt;&gt; BC1255 | NIPPARTS &gt;&gt; J1313015 | NIPPARTS &gt;&gt; J1313007 | NIPPARTS &gt;&gt; J1311019 | FIRST LINE &gt;&gt; FLF536</t>
  </si>
  <si>
    <t>Engine Code &gt;&gt; D16A8</t>
  </si>
  <si>
    <t>HONDA &gt;&gt; 17220P72000 | HONDA &gt;&gt; 17220P72505 | KNECHT &gt;&gt; LX2094 | PUROLATOR &gt;&gt; A54855 | HERTH+BUSS JAKOPARTS &gt;&gt; J1324032 | FRAM &gt;&gt; CA7600 | SOFIMA &gt;&gt; S7523A | AMC Filter &gt;&gt; HA8612 | CLEAN FILTERS &gt;&gt; MA1183 | JAPANPARTS &gt;&gt; FA431S | JAPANPARTS &gt;&gt; JFA431 | JAPANPARTS &gt;&gt; JFA431S | ALCO FILTER &gt;&gt; MD9650 | VIC &gt;&gt; A854 | UFI &gt;&gt; 2752300 | ASHIKA &gt;&gt; 2004431 | MEAT &amp; DORIA &gt;&gt; 18039 | NIPPARTS &gt;&gt; J1324032 | KAGER &gt;&gt; 120550 | HOFFER &gt;&gt; 18039 | IPS Parts &gt;&gt; IFA3431 | UNION &gt;&gt; A551 | RYCO &gt;&gt; A1271</t>
  </si>
  <si>
    <t>O, mm &gt;&gt; 130 | Height, mm &gt;&gt; 186</t>
  </si>
  <si>
    <t>HONDA &gt;&gt; 17220P72000 | MANN-FILTER &gt;&gt; C1468 | HERTH+BUSS JAKOPARTS &gt;&gt; J1324032 | WIX FILTERS &gt;&gt; WA6033 | JAPANPARTS &gt;&gt; FA431S | KAVO PARTS &gt;&gt; HA8612 | ASHIKA &gt;&gt; 2004431 | MAHLE ORIGINAL &gt;&gt; LX291 | BLUE PRINT &gt;&gt; ADH22234 | NPS &gt;&gt; H132A38 | JAPKO &gt;&gt; 20431</t>
  </si>
  <si>
    <t>not for article no.,  &gt;&gt; 1781</t>
  </si>
  <si>
    <t>HONDA &gt;&gt; 17220P72505 | HONDA &gt;&gt; 17220P72000 | ACURA &gt;&gt; 17220P72000 | KNECHT &gt;&gt; LX2094 | HERTH+BUSS JAKOPARTS &gt;&gt; J1324032 | MAGNETI MARELLI &gt;&gt; 154703705100 | MAGNETI MARELLI &gt;&gt; 161013240320 | SOFIMA &gt;&gt; S7523A | AMC Filter &gt;&gt; HA8612 | CLEAN FILTERS &gt;&gt; MA1183 | JAPANPARTS &gt;&gt; FA431S | ALCO FILTER &gt;&gt; MD9650 | DENCKERMANN &gt;&gt; A141349 | UFI &gt;&gt; 2752300 | ASHIKA &gt;&gt; 2004431 | MEAT &amp; DORIA &gt;&gt; 18039 | NIPPARTS &gt;&gt; J1324032 | KAGER &gt;&gt; 120550 | MAHLE ORIGINAL &gt;&gt; LX2094 | HOFFER &gt;&gt; 18039 | BLUE PRINT &gt;&gt; ADH22234 | NPS &gt;&gt; H132A38 | ASHUKI &gt;&gt; 03962304 | IPS Parts &gt;&gt; IFA3431 | JAPKO &gt;&gt; 20431 | MULLER FILTER &gt;&gt; PA3456</t>
  </si>
  <si>
    <t>O, mm &gt;&gt; 130 | Weight, kg &gt;&gt; 0,544 | Height, mm &gt;&gt; 186 |  &gt;&gt; Filter Insert | Quantity required,  &gt;&gt; 1</t>
  </si>
  <si>
    <t>HONDA &gt;&gt; FA431SJAPANPARTS | HONDA &gt;&gt; 17220P72000 | HONDA &gt;&gt; 2004431ASHIKA | HONDA &gt;&gt; J1324032HBJAKOPA | HONDA &gt;&gt; HA8612AMC | MANN-FILTER &gt;&gt; C1468 | BOSCH &gt;&gt; 0986AF2288 | KNECHT &gt;&gt; LX2094 | MAHLE FILTER &gt;&gt; LX2094 | HERTH+BUSS JAKOPARTS &gt;&gt; J1324032 | MAGNETI MARELLI &gt;&gt; 161013240320 | MAGNETI MARELLI &gt;&gt; 154703705100 | SOFIMA &gt;&gt; S7523A | AMC Filter &gt;&gt; HA8612 | CLEAN FILTERS &gt;&gt; MA1183 | WIX FILTERS &gt;&gt; WA6033 | WIX FILTERS &gt;&gt; 46398 | JAPANPARTS &gt;&gt; FA431S | ALCO FILTER &gt;&gt; MD9650 | DENCKERMANN &gt;&gt; A141349 | VIC &gt;&gt; A854 | KAVO PARTS &gt;&gt; HA8612 | UFI &gt;&gt; 2752300 | ASHIKA &gt;&gt; 2004431 | MEAT &amp; DORIA &gt;&gt; 18039 | NIPPARTS &gt;&gt; J1324032 | KAGER &gt;&gt; 120550 | MAHLE ORIGINAL &gt;&gt; LX291 | HOFFER &gt;&gt; 18039 | BLUE PRINT &gt;&gt; ADH22234 | SOLID AUTO (UK) &gt;&gt; H101030 | COMLINE &gt;&gt; CHN12854 | MOTAQUIP &gt;&gt; VFA946 | NPS &gt;&gt; H132A38 | ASHUKI &gt;&gt; 03962304 | IPS Parts &gt;&gt; IFA3431 | UNION &gt;&gt; A551 | JAPKO &gt;&gt; 20431 | MULLER FILTER &gt;&gt; PA3456</t>
  </si>
  <si>
    <t>HONDA &gt;&gt; 18115P2A003 | REINZ &gt;&gt; 715372400 | GLASER &gt;&gt; X8230201 | PAYEN &gt;&gt; JD5748 | AJUSA &gt;&gt; 13084910 | CORTECO &gt;&gt; 13084910</t>
  </si>
  <si>
    <t>ROVER &gt;&gt; 18115P00003 | ROVER &gt;&gt; 18114P00004 | ROVER &gt;&gt; 18115PM3000 | ROVER &gt;&gt; 18115P00004 | REINZ &gt;&gt; 705238200 | PAYEN &gt;&gt; JD052 | AJUSA &gt;&gt; 13084900 | ELWIS ROYAL &gt;&gt; 0331524 | FAI AutoParts &gt;&gt; EM914</t>
  </si>
  <si>
    <t>HONDA &gt;&gt; 17105P00T02 | HONDA &gt;&gt; 17105P00T01 | HONDA &gt;&gt; 17105PO0T01 | PAYEN &gt;&gt; JD051 | AJUSA &gt;&gt; 13109500 | ELWIS ROYAL &gt;&gt; 0231515 | FAI AutoParts &gt;&gt; IM916</t>
  </si>
  <si>
    <t>HONDA &gt;&gt; 17105PM3004 | HONDA &gt;&gt; 17105PM3003 | HONDA &gt;&gt; 17105P07004 | HONDA &gt;&gt; 17105P07003 | REINZ &gt;&gt; 715235600 | PAYEN &gt;&gt; JC863 | AJUSA &gt;&gt; 13084800 | ELWIS ROYAL &gt;&gt; 0231514 | FAI AutoParts &gt;&gt; IM914</t>
  </si>
  <si>
    <t>Fitting Position &gt;&gt; Rear Axle | to construction year &gt;&gt; 09/1989</t>
  </si>
  <si>
    <t>O, mm &gt;&gt; 239 | Height, mm &gt;&gt; 47,8 | Brake Disc Type,  &gt;&gt; Solid | Brake Disc Thickness, mm &gt;&gt; 9 | Min. thickness, mm &gt;&gt; 8 | Num. of holes,  &gt;&gt; 4 | Bolt Hole Circle O, mm &gt;&gt; 100 | Hub O, mm &gt;&gt; 160,7 | Centering Diameter, mm &gt;&gt; 61</t>
  </si>
  <si>
    <t>from construction year &gt;&gt; 07/1986 | Fitting Position &gt;&gt; Rear Axle Left | Fitting Position &gt;&gt; Rear Axle Right</t>
  </si>
  <si>
    <t>HONDA &gt;&gt; 42510SR3J01 | HONDA &gt;&gt; 42510SR3A10 | HONDA &gt;&gt; 42510SR3A11 | HONDA &gt;&gt; 42510SR3000 | ATE &gt;&gt; 24010901111 | BOSCH &gt;&gt; 0986479101 | BENDIX &gt;&gt; 561383B | QUINTON HAZELL &gt;&gt; BDC4746 | FERODO &gt;&gt; DDF1358 | BREMBO &gt;&gt; RS9136 | DELPHI &gt;&gt; BG2538 | sbs &gt;&gt; 1815202621 | BLUE PRINT &gt;&gt; ADH24376 | BLUE PRINT &gt;&gt; ADH24350 | COMLINE &gt;&gt; ADC0510 | NPS &gt;&gt; H331A09 | A.B.S. &gt;&gt; 16192</t>
  </si>
  <si>
    <t>HONDA &gt;&gt; 42510SE0000 | HONDA &gt;&gt; 42510SH3G00 | HONDA &gt;&gt; 42510SK3E00 | HONDA &gt;&gt; 42510SE0010 | ATE &gt;&gt; 24011002121 | BREMBO &gt;&gt; 08710410 | A.B.S. &gt;&gt; 15983 | PILENGA &gt;&gt; 5304</t>
  </si>
  <si>
    <t>HONDA &gt;&gt; 45251SB2782 | HONDA &gt;&gt; 45251SB2781 | HONDA &gt;&gt; 45251SB278012 | HONDA &gt;&gt; 45251SB2780 | ATE &gt;&gt; 24011901061 | BREMBO &gt;&gt; 09502310 | ZIMMERMANN &gt;&gt; 280208800 | PILENGA &gt;&gt; V305</t>
  </si>
  <si>
    <t>HONDA &gt;&gt; 45251SK7A00 | HONDA &gt;&gt; 45251SK7J00 | HONDA &gt;&gt; 45251ST3E10 | HONDA &gt;&gt; 45251SK7A10 | ROVER &gt;&gt; GBD90840 | ATE &gt;&gt; 24012101051 | BREMBO &gt;&gt; 09550914 | FEBI BILSTEIN &gt;&gt; 10911 | PILENGA &gt;&gt; V311</t>
  </si>
  <si>
    <t>O, mm &gt;&gt; 239 | Brake Disc Thickness, mm &gt;&gt; 9 | Thickness/Strength, mm &gt;&gt; 48 | Height, mm &gt;&gt; 47,8 | Outer Diameter, mm &gt;&gt; 239 | Brake Disc Type,  &gt;&gt; Solid | Fitting Position,  &gt;&gt; Rear Axle | Min. thickness, mm &gt;&gt; 8 | Num. of holes,  &gt;&gt; 4 | Bolt Hole Circle O, mm &gt;&gt; 100 | Hub O, mm &gt;&gt; 61 | Weight, kg &gt;&gt; 3,280 | Quantity required,  &gt;&gt; 1 | Centering Diameter, mm &gt;&gt; 61</t>
  </si>
  <si>
    <t>Fitting Position &gt;&gt; Rear Axle Right | Fitting Position &gt;&gt; Rear Axle Left | from construction year &gt;&gt; 07/1986</t>
  </si>
  <si>
    <t>HONDA &gt;&gt; J3314019HBJAKOPA | HONDA &gt;&gt; 0986479101BOSCH | HONDA &gt;&gt; DF2657TRW | HONDA &gt;&gt; DF4191TRW | HONDA &gt;&gt; DDF1358FERODOBERAL | HONDA &gt;&gt; 92077900TEXTAR | HONDA &gt;&gt; 42510SR3A10 | HONDA &gt;&gt; BR2211KBP | HONDA &gt;&gt; 42510SR3A11 | HONDA &gt;&gt; 17471ABS | HONDA &gt;&gt; 42510SR3J01 | HONDA &gt;&gt; 42510SR3G00 | HONDA &gt;&gt; 42510SR3000 | HELLA &gt;&gt; 8DD355104951 | ATE &gt;&gt; 24010901111 | PAGID &gt;&gt; 51122 | VALEO &gt;&gt; 186432 | RUVILLE &gt;&gt; BRR510210 | BOSCH &gt;&gt; F026A00896 | BOSCH &gt;&gt; 0986479942 | BOSCH &gt;&gt; 0986479101 | BOSCH &gt;&gt; 0986AB9842 | BOSCH &gt;&gt; 0986AB9725 | TEXTAR &gt;&gt; 92077900 | JURID &gt;&gt; 562016J | JURID &gt;&gt; 562016JC | JURID &gt;&gt; 561383J | JURID &gt;&gt; 561383JC | BENDIX &gt;&gt; 562016B | BENDIX &gt;&gt; 562016BC | BENDIX &gt;&gt; 561383BC | BENDIX &gt;&gt; 561383B | FTE &gt;&gt; BS4746 | HERTH+BUSS JAKOPARTS &gt;&gt; J3314019 | QUINTON HAZELL &gt;&gt; BSF4746 | QUINTON HAZELL &gt;&gt; BSF4369 | QUINTON HAZELL &gt;&gt; BDC4746 | QUINTON HAZELL &gt;&gt; BDC4369 | FERODO &gt;&gt; DDF9501 | FERODO &gt;&gt; DDF950 | FERODO &gt;&gt; DDF468 | FERODO &gt;&gt; DDF13581 | FERODO &gt;&gt; DDF1358 | BREMBO &gt;&gt; 08A92010 | BREMBO &gt;&gt; 08571910 | BREMBO &gt;&gt; RS9136 | MINTEX &gt;&gt; MDC846 | PEX &gt;&gt; 140223 | BORG &amp; BECK &gt;&gt; BBD4093 | DELPHI &gt;&gt; BG2538 | FARCOM &gt;&gt; 230113 | METZGER &gt;&gt; 652100 | MAGNETI MARELLI &gt;&gt; 353611915550 | MAGNETI MARELLI &gt;&gt; 360406079400 | ROULUNDS RUBBER &gt;&gt; D2196 | ROULUNDS RUBBER &gt;&gt; WD00492 | TRISCAN &gt;&gt; 812040146 | TRISCAN &gt;&gt; 812040117 | METELLI &gt;&gt; 231049C | NK &gt;&gt; 202621 | NK &gt;&gt; 312621 | OPTIMAL &gt;&gt; BS5210 | OPTIMAL &gt;&gt; BS0830 | MAPCO &gt;&gt; 15608 | MEYLE &gt;&gt; 31155230006 | MEYLE &gt;&gt; 31155230006PD | KBP &gt;&gt; BR2211 | ROADHOUSE &gt;&gt; 652100 | REMSA &gt;&gt; 652100 | JAPANPARTS &gt;&gt; DP409 | QH Benelux &gt;&gt; HP53481 | QH Benelux &gt;&gt; 57696 | QH Benelux &gt;&gt; 53481 | VEMO &gt;&gt; V2640003 | DENCKERMANN &gt;&gt; B130108 | NATIONAL &gt;&gt; NBD1507 | NATIONAL &gt;&gt; NBD704 | A.B.S. &gt;&gt; 17471 | A.B.S. &gt;&gt; 16192 | LPR &gt;&gt; H1471P | TRUSTING &gt;&gt; DF113 | TRUSTING &gt;&gt; DF051 | KAVO PARTS &gt;&gt; BR2211 | TRUCKTEC AUTOMOTIVE &gt;&gt; 1035023 | TRUCKTEC AUTOMOTIVE &gt;&gt; 1035015 | TRW &gt;&gt; DF4191 | TRW &gt;&gt; DF2657 | BRECO &gt;&gt; BS7477 | ACDelco &gt;&gt; AC2196D | ASHIKA &gt;&gt; 6104409 | CAR &gt;&gt; HPD853 | CAR &gt;&gt; 142853 | NIPPARTS &gt;&gt; J3314003 | NIPPARTS &gt;&gt; J3314019 | MGA &gt;&gt; D1325 | Brake ENGINEERING &gt;&gt; DI955373 | APEC braking &gt;&gt; DSK252 | FREMAX &gt;&gt; BD1703 | JP GROUP &gt;&gt; 3463200309 | JP GROUP &gt;&gt; 3463200209 | GIRLING &gt;&gt; 6041914 | GIRLING &gt;&gt; 6026574 | AP &gt;&gt; 14472 | KAWE &gt;&gt; 608300 | KAWE &gt;&gt; 37468 | KAWE &gt;&gt; 652100 | PILENGA &gt;&gt; 5310 | fri.tech. &gt;&gt; DF113 | fri.tech. &gt;&gt; DF051 | sbs &gt;&gt; 202621 | sbs &gt;&gt; 1815202621 | E.T.F. &gt;&gt; 191703 | WOKING &gt;&gt; D652100 | VILLAR &gt;&gt; 6281484 | ST-TEMPLIN &gt;&gt; 011342121102 | BLUE PRINT &gt;&gt; ADH24376 | BLUE PRINT &gt;&gt; ADH24350 | BLUE PRINT &gt;&gt; ADH24327 | SOLID AUTO (UK) &gt;&gt; H106016 | FIRST LINE &gt;&gt; FBD1043 | COMLINE &gt;&gt; ADC0510 | STOP &gt;&gt; 561383S | NPS &gt;&gt; H331A09 | ASHUKI &gt;&gt; 09939104 | ASHUKI &gt;&gt; 09933004 | VEMA &gt;&gt; 98743 | JAPKO &gt;&gt; 61409 | ABE &gt;&gt; C44014ABE | ABE &gt;&gt; C44009ABE | QH Talbros &gt;&gt; BSF4746 | QH Talbros &gt;&gt; BSF4369 | QH Talbros &gt;&gt; BDC4746 | QH Talbros &gt;&gt; BDC4369</t>
  </si>
  <si>
    <t>HONDA &gt;&gt; 18212SA0003 | HONDA &gt;&gt; 18212671003 | REINZ &gt;&gt; 715228100 | GLASER &gt;&gt; X8231801 | BGA &gt;&gt; SP6371</t>
  </si>
  <si>
    <t>HONDA &gt;&gt; 44018SR3000 | HONDA &gt;&gt; 44018SR3951 | HONDA &gt;&gt; 44315SM4003 | HONDA &gt;&gt; 44323SB0310 | HONDA &gt;&gt; J2864002HBJAKOPA | HONDA &gt;&gt; G03722530 | HONDA &gt;&gt; 44018SR3G01 | HONDA &gt;&gt; G56022530 | HONDA &gt;&gt; G56822530 | HONDA &gt;&gt; 44323SB2981 | HONDA &gt;&gt; 44018SR3901 | HONDA &gt;&gt; 44018SR3950 | HONDA &gt;&gt; 44333SB2961 | HONDA &gt;&gt; 44018SR3900 | HONDA &gt;&gt; 44333SF1961 | HONDA &gt;&gt; 44333SD9003 | HONDA &gt;&gt; 757403RUVILLE | MITSUBISHI &gt;&gt; MB526905 | MITSUBISHI &gt;&gt; MB620061 | MITSUBISHI &gt;&gt; MB620062 | MITSUBISHI &gt;&gt; MB526907 | MITSUBISHI &gt;&gt; MB620056 | MITSUBISHI &gt;&gt; MB620060 | MITSUBISHI &gt;&gt; MB297689 | MITSUBISHI &gt;&gt; MB526776 | MITSUBISHI &gt;&gt; MB297381 | MITSUBISHI &gt;&gt; MB297536 | MITSUBISHI &gt;&gt; MB297380 | RUVILLE &gt;&gt; 757403 | LEMFORDER &gt;&gt; 1541901 | LEMFORDER &gt;&gt; 2008001 | HERTH+BUSS JAKOPARTS &gt;&gt; J2864003 | HERTH+BUSS JAKOPARTS &gt;&gt; J2864002 | HERTH+BUSS JAKOPARTS &gt;&gt; J2863004 | HERTH+BUSS JAKOPARTS &gt;&gt; J2885003 | HERTH+BUSS JAKOPARTS &gt;&gt; J2874000 | HERTH+BUSS JAKOPARTS &gt;&gt; J2884009 | HERTH+BUSS JAKOPARTS &gt;&gt; J2864007 | HERTH+BUSS JAKOPARTS &gt;&gt; J2865003 | QUINTON HAZELL &gt;&gt; QJB515 | PEX &gt;&gt; 8097 | TRISCAN &gt;&gt; 854040802 | METELLI &gt;&gt; 130049 | METELLI &gt;&gt; 130042 | OPTIMAL &gt;&gt; MK811140 | JAPANPARTS &gt;&gt; KB040 | JAPANPARTS &gt;&gt; KB036 | JAPANPARTS &gt;&gt; KB034 | JAPANPARTS &gt;&gt; KB018 | JAPANPARTS &gt;&gt; KB008 | ASHIKA &gt;&gt; 6300045 | ASHIKA &gt;&gt; 6300040 | ASHIKA &gt;&gt; 6300036 | ASHIKA &gt;&gt; 6300018 | ASHIKA &gt;&gt; 6300008 | ASHIKA &gt;&gt; 6302279 | NIPPARTS &gt;&gt; J2864002 | NIPPARTS &gt;&gt; J2863004 | NIPPARTS &gt;&gt; J2862001 | SASIC &gt;&gt; 9004642 | IPD &gt;&gt; 352602 | IPD &gt;&gt; 352598 | AUTEX &gt;&gt; 503607 | AUTEX &gt;&gt; 503603 | BLUE PRINT &gt;&gt; ADS78105 | BLUE PRINT &gt;&gt; ADH28160 | BLUE PRINT &gt;&gt; ADH28155 | BLUE PRINT &gt;&gt; ADH28112 | BLUE PRINT &gt;&gt; ADH28109 | BLUE PRINT &gt;&gt; ADH28105 | BLUE PRINT &gt;&gt; ADC48154 | BLUE PRINT &gt;&gt; ADC48103 | FAI &gt;&gt; BK51227 | GOMET &gt;&gt; 331955 | SOLID AUTO (UK) &gt;&gt; H116003 | FIRST LINE &gt;&gt; FCB2187 | NPS &gt;&gt; H282A60 | NPS &gt;&gt; H282A55 | NPS &gt;&gt; H282A07 | NPS &gt;&gt; M282A58 | IPS Parts &gt;&gt; IBK10018 | JAPKO &gt;&gt; 63018 | QH Talbros &gt;&gt; QJB515 | QH Talbros &gt;&gt; QJB131</t>
  </si>
  <si>
    <t>HONDA &gt;&gt; 53534SA5950 | HONDA &gt;&gt; 53534SA5951 | HONDA &gt;&gt; 53534SD4000 | HONDA &gt;&gt; 53534SC4000 | HONDA &gt;&gt; 53534SB4000 | HONDA &gt;&gt; 53534SB4305 | HONDA &gt;&gt; 53534SD4100 | SPIDAN &gt;&gt; 83620 | HERTH+BUSS JAKOPARTS &gt;&gt; J4104007 | HERTH+BUSS JAKOPARTS &gt;&gt; J2844001 | MOOG &gt;&gt; K150051 | SIDEM &gt;&gt; 313032 | BLUE PRINT &gt;&gt; ADH281501</t>
  </si>
  <si>
    <t>BMW &gt;&gt; 61619069195 | CHRYSLER &gt;&gt; 68194930AA | FORD &gt;&gt; A780X17528AJA | FORD &gt;&gt; 84AU17528B | FORD &gt;&gt; XM3417528FA | FORD &gt;&gt; XM3417528HA | MAZDA &gt;&gt; NA1267330 | MAZDA &gt;&gt; NA1367330 | MAZDA &gt;&gt; FE1567330A | MAZDA &gt;&gt; KD5367330 | MAZDA &gt;&gt; G04467330 | MAZDA &gt;&gt; GB9367330 | MAZDA &gt;&gt; B09567330 | MAZDA &gt;&gt; BE5J67330 | MAZDA &gt;&gt; BE8T67330 | MAZDA &gt;&gt; BJ0F67330 | MAZDA &gt;&gt; BHS367330 | MAZDA &gt;&gt; 8FG267330A | MITSUBISHI &gt;&gt; MZ690098 | MITSUBISHI &gt;&gt; MB622214 | MITSUBISHI &gt;&gt; MR300879 | MITSUBISHI &gt;&gt; MR416668 | MITSUBISHI &gt;&gt; MN181423 | MITSUBISHI &gt;&gt; MB382532 | MITSUBISHI &gt;&gt; MB622213 | MITSUBISHI &gt;&gt; 8250A186 | MITSUBISHI &gt;&gt; 8250A375 | NISSAN &gt;&gt; 28890JR81A | NISSAN &gt;&gt; 28890AM615 | NISSAN &gt;&gt; 28890AU311 | NISSAN &gt;&gt; 28890AX610 | NISSAN &gt;&gt; AY00JUAF5R | OPEL &gt;&gt; 1272346 | OPEL &gt;&gt; 1272788 | OPEL &gt;&gt; 1272038 | OPEL &gt;&gt; 1272337 | OPEL &gt;&gt; 1272033 | SUBARU &gt;&gt; 86542AG160 | SUBARU &gt;&gt; 86542SC160 | SUBARU &gt;&gt; 86542SC150 | SUZUKI &gt;&gt; 3834065B00 | SUZUKI &gt;&gt; 3834070B10 | SUZUKI &gt;&gt; 3834070B10000 | SUZUKI &gt;&gt; 3834065B00000 | SUZUKI &gt;&gt; 3834060B20000 | SUZUKI &gt;&gt; 3834060B20 | SUZUKI &gt;&gt; 3834060B00000 | SUZUKI &gt;&gt; 3834060B00 | TOYOTA &gt;&gt; 8522230590 | TOYOTA &gt;&gt; 8522210230 | TOYOTA &gt;&gt; 8522210240 | TOYOTA &gt;&gt; 8521210130 | TOYOTA &gt;&gt; 8521210140 | TOYOTA &gt;&gt; 8521274010 | VOLVO &gt;&gt; 3343022 | VOLVO &gt;&gt; 3297732 | VOLVO &gt;&gt; 3201897 | HYUNDAI &gt;&gt; 983602H000 | HYUNDAI &gt;&gt; 983602B000 | HYUNDAI &gt;&gt; 983602C000 | HYUNDAI &gt;&gt; 9835028920 | HYUNDAI &gt;&gt; 9836022020 | HYUNDAI &gt;&gt; 9835024510 | HYUNDAI &gt;&gt; 9835028000 | KIA &gt;&gt; 983602H000 | KIA &gt;&gt; 983602C000 | KIA &gt;&gt; 983602B000 | KIA &gt;&gt; 9836022020 | KIA &gt;&gt; 9835028920 | KIA &gt;&gt; 9835028000 | KIA &gt;&gt; 9835024510 | VAG &gt;&gt; KS95545053 | ALFAROME/FIAT/LANCI &gt;&gt; 5911650 | GENERAL MOTORS &gt;&gt; 25882578 | GENERAL MOTORS &gt;&gt; 13227405 | GENERAL MOTORS &gt;&gt; 13277083 | GENERAL MOTORS &gt;&gt; 96910780 | GENERAL MOTORS &gt;&gt; 93178169 | GENERAL MOTORS &gt;&gt; 95161606 | GENERAL MOTORS &gt;&gt; 96341429 | GENERAL MOTORS &gt;&gt; 7835005000 | GENERAL MOTORS &gt;&gt; 7836005000 | CITROEN/PEUGEOT &gt;&gt; 6426SP | CITROEN/PEUGEOT &gt;&gt; 6426CE | SMART &gt;&gt; 0014885V002 | HELLA &gt;&gt; 9XW864083801 | HELLA &gt;&gt; 9XW168963801 | HELLA &gt;&gt; 9XW858790801 | HELLA &gt;&gt; 9XW168958801 | HELLA &gt;&gt; 864076801 | HELLA &gt;&gt; WB19 | SWF &gt;&gt; 117602 | SWF &gt;&gt; 117307 | SWF &gt;&gt; 116109 | SWF &gt;&gt; 117301 | SWF &gt;&gt; 105128 | SWF &gt;&gt; 117230 | SWF &gt;&gt; 117223 | SWF &gt;&gt; 116650 | SWF &gt;&gt; 103433 | SWF &gt;&gt; 116602 | SWF &gt;&gt; 116350 | SWF &gt;&gt; 116346 | SWF &gt;&gt; 116329 | SWF &gt;&gt; 116307 | SWF &gt;&gt; 116301 | SWF &gt;&gt; 119845 | SWF &gt;&gt; 116226 | SWF &gt;&gt; 119761 | SWF &gt;&gt; 119739 | SWF &gt;&gt; 119729 | SWF &gt;&gt; 116128 | SWF &gt;&gt; 119725 | SWF &gt;&gt; 118206 | SWF &gt;&gt; 116125 | SWF &gt;&gt; 118107 | SWF &gt;&gt; 118101 | SWF &gt;&gt; 116123 | SWF &gt;&gt; 118095 | VALEO &gt;&gt; 574286 | VALEO &gt;&gt; 575545 | VALEO &gt;&gt; 574129 | VALEO &gt;&gt; 574131 | VALEO &gt;&gt; R45 | VALEO &gt;&gt; 574112 | VALEO &gt;&gt; 567981 | VALEO &gt;&gt; 567941 | VALEO &gt;&gt; 567793 | VALEO &gt;&gt; 567791 | VALEO &gt;&gt; 567771 | VALEO &gt;&gt; C6045 | VALEO &gt;&gt; C45 | VALEO &gt;&gt; VM4 | VALEO &gt;&gt; VM6 | VALEO &gt;&gt; VFAM45 | VALEO &gt;&gt; VM224 | VALEO &gt;&gt; V48S | VALEO &gt;&gt; VF45 | VALEO &gt;&gt; V452 | VALEO &gt;&gt; V45S | VALEO &gt;&gt; UM621 | VALEO &gt;&gt; V45 | VALEO &gt;&gt; UM601 | VALEO &gt;&gt; UM6 | VALEO &gt;&gt; UM203 | VALEO &gt;&gt; UM4 | VALEO &gt;&gt; U45S | VALEO &gt;&gt; U48S | VALEO &gt;&gt; U45 | VALEO &gt;&gt; 576083 | VALEO &gt;&gt; 576101 | VALEO &gt;&gt; 575793 | VALEO &gt;&gt; 576073 | BOSCH &gt;&gt; 3397001368 | BOSCH &gt;&gt; 3397001342 | BOSCH &gt;&gt; 3397001269 | BOSCH &gt;&gt; 3397001268 | BOSCH &gt;&gt; 531 | BOSCH &gt;&gt; 509 | BOSCH &gt;&gt; 502S | BOSCH &gt;&gt; H450 | BOSCH &gt;&gt; 502 | BOSCH &gt;&gt; 481S | BOSCH &gt;&gt; 481 | BOSCH &gt;&gt; 472 | BOSCH &gt;&gt; 46S | BOSCH &gt;&gt; 450U | BOSCH &gt;&gt; 450 | BOSCH &gt;&gt; 269S | BOSCH &gt;&gt; 269 | BOSCH &gt;&gt; 268S | BOSCH &gt;&gt; 268 | BOSCH &gt;&gt; 34S | BOSCH &gt;&gt; 342S | BOSCH &gt;&gt; 342 | BOSCH &gt;&gt; 3397118995 | BOSCH &gt;&gt; 3397118994 | BOSCH &gt;&gt; AR813S | BOSCH &gt;&gt; AR604S | BOSCH &gt;&gt; 3397118912 | BOSCH &gt;&gt; AR531S | BOSCH &gt;&gt; AR502S | BOSCH &gt;&gt; 3397118908 | BOSCH &gt;&gt; AR450S | BOSCH &gt;&gt; AR18U | BOSCH &gt;&gt; 3397118901 | BOSCH &gt;&gt; 3397118564 | BOSCH &gt;&gt; 3397118563 | BOSCH &gt;&gt; 3397118543 | BOSCH &gt;&gt; 3397118542 | BOSCH &gt;&gt; 3397118506 | BOSCH &gt;&gt; 3397118505 | BOSCH &gt;&gt; 3397118403 | BOSCH &gt;&gt; 3397118402 | BOSCH &gt;&gt; 3397118303 | BOSCH &gt;&gt; 3397110837 | BOSCH &gt;&gt; 3397110821 | BOSCH &gt;&gt; 3397110509 | BOSCH &gt;&gt; 3397110094 | BOSCH &gt;&gt; 3397110066 | BOSCH &gt;&gt; 873 | BOSCH &gt;&gt; 3397010097 | BOSCH &gt;&gt; 3397008532 | BOSCH &gt;&gt; 3397007226 | BOSCH &gt;&gt; 3397007210 | BOSCH &gt;&gt; 3397007164 | BOSCH &gt;&gt; 3397007034 | BOSCH &gt;&gt; 837 | BOSCH &gt;&gt; 3397004763 | BOSCH &gt;&gt; 3397004581 | BOSCH &gt;&gt; 803 | BOSCH &gt;&gt; 3397002873 | BOSCH &gt;&gt; 3397001803 | BOSCH &gt;&gt; 3397001489 | BOSCH &gt;&gt; 604S | BOSCH &gt;&gt; 3397001472 | BOSCH &gt;&gt; 3397001371 | BOSCH &gt;&gt; 3397001369 | CHAMPION &gt;&gt; SK45MC02 | CHAMPION &gt;&gt; SK45M | CHAMPION &gt;&gt; SK45C02 | CHAMPION &gt;&gt; SK45 | CHAMPION &gt;&gt; RXU45B01 | CHAMPION &gt;&gt; RXU45 | CHAMPION &gt;&gt; K65GC02 | CHAMPION &gt;&gt; K65G | CHAMPION &gt;&gt; K58EC02 | CHAMPION &gt;&gt; K58EB02 | CHAMPION &gt;&gt; EU45C01 | CHAMPION &gt;&gt; EU45 | CHAMPION &gt;&gt; ER45B01 | CHAMPION &gt;&gt; ER45 | CHAMPION &gt;&gt; E45B02 | CHAMPION &gt;&gt; E45B01 | CHAMPION &gt;&gt; E45 | CHAMPION &gt;&gt; AW45B01 | CHAMPION &gt;&gt; AW45 | CHAMPION &gt;&gt; AS5545B02 | CHAMPION &gt;&gt; AS5345B02 | CHAMPION &gt;&gt; AS5145B02 | CHAMPION &gt;&gt; AS45B01 | CHAMPION &gt;&gt; AS4548B02 | CHAMPION &gt;&gt; AS4545B02 | CHAMPION &gt;&gt; AS45 | CHAMPION &gt;&gt; AHR45B01 | CHAMPION &gt;&gt; AHR45 | CHAMPION &gt;&gt; AHL45B01 | CHAMPION &gt;&gt; AHL45 | CHAMPION &gt;&gt; A45B01 | CHAMPION &gt;&gt; A45 | CHAMPION &gt;&gt; X45EB02 | CHAMPION &gt;&gt; X45EB01 | CHAMPION &gt;&gt; X45E | CHAMPION &gt;&gt; X45C02 | CHAMPION &gt;&gt; X45C01 | CHAMPION &gt;&gt; X45B02 | CHAMPION &gt;&gt; X45B01 | CHAMPION &gt;&gt; X45 | CHAMPION &gt;&gt; WX45B01 | CHAMPION &gt;&gt; WX45 | CHAMPION &gt;&gt; SX45B01 | CHAMPION &gt;&gt; SX45 | CHAMPION &gt;&gt; SK65FC02 | CHAMPION &gt;&gt; SK65F | CHAMPION &gt;&gt; SK60FC02 | CHAMPION &gt;&gt; SK60F | CHAMPION &gt;&gt; SK55DC02 | CHAMPION &gt;&gt; SK55DB02 | CHAMPION &gt;&gt; SK55D | CHAMPION &gt;&gt; SK53CC02 | CHAMPION &gt;&gt; SK53CB02 | CHAMPION &gt;&gt; SK53C | CHAMPION &gt;&gt; SK51BC02 | CHAMPION &gt;&gt; SK51BB02 | CHAMPION &gt;&gt; SK51B | DENSO &gt;&gt; DU045R | DENSO &gt;&gt; DU045L | DENSO &gt;&gt; DMC045 | DENSO &gt;&gt; DM045 | DENSO &gt;&gt; DFR002 | NWB &gt;&gt; NU018L | NWB &gt;&gt; EU518 | TRICO &gt;&gt; NF450 | TRICO &gt;&gt; HF450 | TRICO &gt;&gt; FISTER18 | TRICO &gt;&gt; ES450R | TRICO &gt;&gt; ES450L | TRICO &gt;&gt; ES450 | TRICO &gt;&gt; EF450 | TRICO &gt;&gt; WB450 | TRICO &gt;&gt; TT450 | TRICO &gt;&gt; T450 | PJ &gt;&gt; 041845</t>
  </si>
  <si>
    <t>Number of Ribs,  &gt;&gt; 3 | Length, mm &gt;&gt; 715</t>
  </si>
  <si>
    <t>HONDA &gt;&gt; 31110PG7660 | HONDA &gt;&gt; 31110PG7661 | GATES &gt;&gt; 3PK715 | JAPANPARTS &gt;&gt; TV713 | JAPANPARTS &gt;&gt; DV3PK0715 | KAVO PARTS &gt;&gt; DMV2002 | ASHIKA &gt;&gt; 9607713 | ASHIKA &gt;&gt; 1123PK0715 | BLUE PRINT &gt;&gt; ADH29607 | NPS &gt;&gt; H111A07 | JAPKO &gt;&gt; 3PK0715</t>
  </si>
  <si>
    <t>HONDA &gt;&gt; 14400PG4004 | HONDA &gt;&gt; 14400PG6004 | HONDA &gt;&gt; 14400PG6014 | IVECO &gt;&gt; VT090 | LUCAS ELECTRICAL &gt;&gt; KCB199 | BOSCH &gt;&gt; 1987948715 | BOSCH &gt;&gt; 8715 | CONTITECH &gt;&gt; CT722 | GATES &gt;&gt; 5170XS | LEMFORDER &gt;&gt; 1862901 | LEMFORDER &gt;&gt; 537060177 | DAYCO &gt;&gt; 129SP240 | DAYCO &gt;&gt; 94137 | OPTIBELT &gt;&gt; HR58129X24MM | ROULUNDS RUBBER &gt;&gt; 129HP240R | AE &gt;&gt; TB355 | DELTA &gt;&gt; TB1105 | POWERPART &gt;&gt; PMTB128 | UNIROYAL &gt;&gt; 58129X24 | VEYANCE &gt;&gt; G1210H | MOPROD &gt;&gt; MTB359 | UNIPART &gt;&gt; GTB1170XS | AUGROS &gt;&gt; 50525500 | TRW &gt;&gt; 4872670 | ECHLIN INTERNATIONAL &gt;&gt; QT130 | FI-PARTS &gt;&gt; FTB3436 | MOTIP &gt;&gt; VTB270 | MITSUBOSHI &gt;&gt; 129MR24 | FAI AutoParts &gt;&gt; 41129 | FIRST LINE &gt;&gt; FTB3436</t>
  </si>
  <si>
    <t>Rollers contained,  &gt;&gt; 1</t>
  </si>
  <si>
    <t>SKF &gt;&gt; VKMA93008</t>
  </si>
  <si>
    <t>O, mm &gt;&gt; 60 | Width, mm &gt;&gt; 28 | Overall Height, mm &gt;&gt; 45</t>
  </si>
  <si>
    <t>HONDA &gt;&gt; 14510PG6013 | RUVILLE &gt;&gt; 57421 | SKF &gt;&gt; VKM73003 | OPTIMAL &gt;&gt; 0N066 | INA &gt;&gt; 531013400 | INA &gt;&gt; 531013420 | FAI AutoParts &gt;&gt; T9690</t>
  </si>
  <si>
    <t>HONDA &gt;&gt; 14510PG6013 | HONDA &gt;&gt; 68421SPIDAN | HONDA &gt;&gt; 14510PG6000 | HONDA &gt;&gt; VKM73003SKF | HONDA &gt;&gt; 57421RUVILLE | HONDA &gt;&gt; J1144012HBJAKOPA | SPIDAN &gt;&gt; 70131 | SPIDAN &gt;&gt; 68421 | LuK &gt;&gt; 531013420 | LuK &gt;&gt; 5310134000 | RUVILLE &gt;&gt; 57421 | DAYCO &gt;&gt; ATB2459 | SKF &gt;&gt; VKM73003 | HERTH+BUSS JAKOPARTS &gt;&gt; J1144012 | QUINTON HAZELL &gt;&gt; QTT320 | OPTIMAL &gt;&gt; 0N066 | JAPANPARTS &gt;&gt; BE411 | KAVO PARTS &gt;&gt; DTE2010 | INA &gt;&gt; 531013420 | BREDA  LORETT &gt;&gt; CR5165 | TIMKEN &gt;&gt; TKR9066 | FLENNOR &gt;&gt; FS62992 | ASHIKA &gt;&gt; 4504411 | NIPPARTS &gt;&gt; J1144012 | KDP &gt;&gt; DTE2010 | IPD &gt;&gt; 140636 | AUTEX &gt;&gt; 641641 | BLUE PRINT &gt;&gt; ADH27609 | NPS &gt;&gt; H113A08 | IPS Parts &gt;&gt; ITB6411 | VEMA &gt;&gt; 65014054 | JAPKO &gt;&gt; 45411 | QH Talbros &gt;&gt; QTT320</t>
  </si>
  <si>
    <t>Thickness/Strength, mm &gt;&gt; 1,2</t>
  </si>
  <si>
    <t>HONDA &gt;&gt; 12251PM7003 | ROVER &gt;&gt; FDU1030EVA | REINZ &gt;&gt; 615269000 | GOETZE &gt;&gt; 3002815000 | GLASER &gt;&gt; 50562 | GLASER &gt;&gt; H8096800 | PAYEN &gt;&gt; BS880 | AJUSA &gt;&gt; 10075600 | CORTECO &gt;&gt; 414126P</t>
  </si>
  <si>
    <t xml:space="preserve"> &gt;&gt; with valve stem seals</t>
  </si>
  <si>
    <t>HONDA &gt;&gt; 061A1PM7G00 | REINZ &gt;&gt; 025269001 | GOETZE &gt;&gt; 2128150200 | GLASER &gt;&gt; D8096800 | AJUSA &gt;&gt; 52102400 | AJUSA &gt;&gt; 52102200 | CORTECO &gt;&gt; 418429P | CORTECO &gt;&gt; 417631P</t>
  </si>
  <si>
    <t>Seal, valve stem</t>
  </si>
  <si>
    <t>D1, mm &gt;&gt; 7 | D2, mm &gt;&gt; 12 | D3, mm &gt;&gt; 13,5 | Height, mm &gt;&gt; 9,5 |  &gt;&gt; ACM (Polyacrylate)</t>
  </si>
  <si>
    <t>Valve Type &gt;&gt; for intake valves | Required quantity &gt;&gt; 8</t>
  </si>
  <si>
    <t>HONDA &gt;&gt; 12210PM7004 | HONDA &gt;&gt; 12210PT2003 | HONDA &gt;&gt; 12210PT2004 | ROVER &gt;&gt; FDU1029 | ROVER &gt;&gt; FDU1242 | REINZ &gt;&gt; 705359300 | GLASER &gt;&gt; N9304600 | GLASER &gt;&gt; N9305000 | GLASER &gt;&gt; N9011200 | PAYEN &gt;&gt; PB353 | PAYEN &gt;&gt; PB156 | AJUSA &gt;&gt; 12002600 | CORTECO &gt;&gt; 19026216</t>
  </si>
  <si>
    <t>Valve Type &gt;&gt; for exhaust valves | Required quantity &gt;&gt; 8</t>
  </si>
  <si>
    <t>HONDA &gt;&gt; 12211PH7004 | HONDA &gt;&gt; 12211PT2004 | REINZ &gt;&gt; 705359310 | GLASER &gt;&gt; N9300702 | PAYEN &gt;&gt; PB354 | AJUSA &gt;&gt; 12002600 | CORTECO &gt;&gt; 19026216</t>
  </si>
  <si>
    <t>MG &gt;&gt; GBP90347AF | ROVER &gt;&gt; GBP90316 | ROVER &gt;&gt; GBP90316AF | ROVER &gt;&gt; EJP1437 | ATE &gt;&gt; 13046059982 | TEXTAR &gt;&gt; 2131201 | QUINTON HAZELL &gt;&gt; BP448 | FERODO &gt;&gt; FDB621 | BREMBO &gt;&gt; P28017 | MINTEX &gt;&gt; MDB1411 | DELPHI &gt;&gt; LP625 | ROADHOUSE &gt;&gt; 223302 | TRW &gt;&gt; GDB499 | Brake ENGINEERING &gt;&gt; PA545 | APEC braking &gt;&gt; PAD688 | BLUE PRINT &gt;&gt; ADH24254 | COMLINE &gt;&gt; ADB3242 | COMLINE &gt;&gt; CBP3242 | JURATEK &gt;&gt; JCP621</t>
  </si>
  <si>
    <t>Fitting Position &gt;&gt; Rear Axle | from construction year &gt;&gt; 10/1988</t>
  </si>
  <si>
    <t>HONDA &gt;&gt; 45022SD2506 | HONDA &gt;&gt; 45022SD2A03 | HONDA &gt;&gt; 45022SD2505 | HONDA &gt;&gt; 45022SD2A13 | HONDA &gt;&gt; 45022SD2A12 | HONDA &gt;&gt; 45022SD2A11 | HONDA &gt;&gt; 45022SD2A10 | HONDA &gt;&gt; 45022SB2780 | HONDA &gt;&gt; 45022SD2518 | HONDA &gt;&gt; 45022SD2A01 | HONDA &gt;&gt; 45022SD2A02 | HONDA &gt;&gt; 45022SD2519 | HONDA &gt;&gt; 45022SE0315 | HONDA &gt;&gt; 45022SD2508 | HONDA &gt;&gt; 45022SD2509 | HONDA &gt;&gt; 45022SE0912 | HONDA &gt;&gt; 45022SE0517 | HONDA &gt;&gt; 45022SE0527 | HONDA &gt;&gt; 45022SE0325 | HONDA &gt;&gt; 45022SE0507 | ATE &gt;&gt; 13046059182 | PAGID &gt;&gt; T0365 | VALEO &gt;&gt; 551610 | BOSCH &gt;&gt; 0986460936 | TEXTAR &gt;&gt; 2009915005T4047 | TEXTAR &gt;&gt; 2009902 | TEXTAR &gt;&gt; 2010414005 | JURID &gt;&gt; 572288J | BENDIX &gt;&gt; 572287B | BENDIX &gt;&gt; 572288B | QUINTON HAZELL &gt;&gt; BP425 | FERODO &gt;&gt; FDB454 | BREMBO &gt;&gt; P28010 | MINTEX &gt;&gt; MDB1586 | MINTEX &gt;&gt; MDB1344 | DELPHI &gt;&gt; LP721 | DELPHI &gt;&gt; LP525 | ROULUNDS RUBBER &gt;&gt; 496881 | ROADHOUSE &gt;&gt; 222802 | REMSA &gt;&gt; 022802 | ICER &gt;&gt; 180750 | UNIPART &gt;&gt; GBP708AF | UNIPART &gt;&gt; GBP708 | TRW &gt;&gt; GDB925 | TRW &gt;&gt; GDB784 | FMSI-VERBAND &gt;&gt; 7229D334 | NECTO &gt;&gt; FD6290A | NIPPARTS &gt;&gt; 3604024 | NIPPARTS &gt;&gt; 3604018 | Brake ENGINEERING &gt;&gt; PA463 | APEC braking &gt;&gt; PAD502 | BLUE PRINT &gt;&gt; ADH24221 | BLUE PRINT &gt;&gt; ADH24216 | A.B.S. &gt;&gt; 36615</t>
  </si>
  <si>
    <t>HONDA &gt;&gt; 11251PE0010 | HONDA &gt;&gt; 11251PE0004 | HONDA &gt;&gt; 11251PE0003 | HONDA &gt;&gt; 11251PE0000 | HONDA &gt;&gt; DBP9347 | HONDA &gt;&gt; DBP4100 | HONDA &gt;&gt; 11251P01004 | HONDA &gt;&gt; 11251PE2020 | HONDA &gt;&gt; 11251PE2010 | HONDA &gt;&gt; 11251PE2004 | HONDA &gt;&gt; 11251PE2003 | HONDA &gt;&gt; 11251PE0020 | REINZ &gt;&gt; 715228400 | ELRING &gt;&gt; 705110 | PAYEN &gt;&gt; JJ309 | AJUSA &gt;&gt; 14029700 | ELWIS ROYAL &gt;&gt; 1031511 | FAI AutoParts &gt;&gt; SG333</t>
  </si>
  <si>
    <t>HONDA &gt;&gt; 32700P7AG01 | HONDA &gt;&gt; 32700P1JE01 | HONDA &gt;&gt; 32700P0HA00 | HONDA &gt;&gt; 32722P2A003 | HONDA &gt;&gt; 32700PEL004 | HONDA &gt;&gt; 32700PDAE01 | HERTH+BUSS JAKOPARTS &gt;&gt; J5384036 | HERTH+BUSS JAKOPARTS &gt;&gt; J5384017 | JAPANPARTS &gt;&gt; IC415 | JAPANPARTS &gt;&gt; IC413 | KAVO PARTS &gt;&gt; ICK2013 | KAVO PARTS &gt;&gt; ICK2008 | ASHIKA &gt;&gt; 13204415 | ASHIKA &gt;&gt; 13204413 | BLUE PRINT &gt;&gt; ADH21616 | BLUE PRINT &gt;&gt; ADH21605 | JAPKO &gt;&gt; 132415 | JAPKO &gt;&gt; 132413</t>
  </si>
  <si>
    <t>Engine Code &gt;&gt; D16A8 | Manufacturer Restriction &gt;&gt; TEC | Required quantity &gt;&gt; 1</t>
  </si>
  <si>
    <t>Engine Code &gt;&gt; D16A8 | to construction year &gt;&gt; 12/1987</t>
  </si>
  <si>
    <t>Engine Code &gt;&gt; D16A8 | from construction year &gt;&gt; 01/1988</t>
  </si>
  <si>
    <t>Voltage, V &gt;&gt; 12 | Quantity required,  &gt;&gt; 1</t>
  </si>
  <si>
    <t>HONDA &gt;&gt; 30510P73A01 | HONDA &gt;&gt; 30510PT2006 | HONDA &gt;&gt; 30510P73A02 | JAPANPARTS &gt;&gt; BO400 | ASHIKA &gt;&gt; 7804400 | BLUE PRINT &gt;&gt; ADH21474 | JAPKO &gt;&gt; 78400</t>
  </si>
  <si>
    <t>HONDA &gt;&gt; 30500PM5A03 | HONDA &gt;&gt; 30500PM5A02 | ROVER &gt;&gt; GCL161 | BERU &gt;&gt; ZS276 | FACET &gt;&gt; 96113 | ERA &gt;&gt; A880052</t>
  </si>
  <si>
    <t>Weight, kg &gt;&gt; 0,480 | , terminal &gt;&gt; 2 | Voltage, V &gt;&gt; 12 | Quantity required,  &gt;&gt; 1</t>
  </si>
  <si>
    <t>HONDA &gt;&gt; 30500PTZ005 | HONDA &gt;&gt; 30510P73A02 | HONDA &gt;&gt; 30510PT2006 | HONDA &gt;&gt; 30510P73A01 | BERU &gt;&gt; ZS275 | BERU &gt;&gt; ZS532 | NGK &gt;&gt; 48054 | NGK &gt;&gt; 48111 | VALEO &gt;&gt; 245167 | VALEO &gt;&gt; 245188 | BOSCH &gt;&gt; F000ZS0116 | BOSCH &gt;&gt; F00E140018 | BREMI &gt;&gt; 11915 | QUINTON HAZELL &gt;&gt; XIC8161 | QUINTON HAZELL &gt;&gt; XIC8196 | DELPHI &gt;&gt; GN1017112B1 | DELPHI &gt;&gt; GN10221 | DELPHI &gt;&gt; GN10068 | DELPHI &gt;&gt; GN1006811B1 | METZGER &gt;&gt; 0880069 | METZGER &gt;&gt; 0880167 | MAGNETI MARELLI &gt;&gt; 060717021012 | MAGNETI MARELLI &gt;&gt; 060717022012 | TRISCAN &gt;&gt; 886040009 | MAPCO &gt;&gt; 80501 | MAPCO &gt;&gt; 80500 | JAPANPARTS &gt;&gt; BO400 | VEMO &gt;&gt; V26700005 | VEMO &gt;&gt; V26700002 | FACET &gt;&gt; 96247 | FACET &gt;&gt; 96114 | ERA &gt;&gt; 880271 | ERA &gt;&gt; 880262 | ERA &gt;&gt; 880053 | ASHIKA &gt;&gt; 7804401 | ASHIKA &gt;&gt; 7804400 | MEAT &amp; DORIA &gt;&gt; 10350 | MEAT &amp; DORIA &gt;&gt; 10344 | NIPPARTS &gt;&gt; J5363001 | NIPPARTS &gt;&gt; N5364015 | BLUE PRINT &gt;&gt; ADH21474 | NPS &gt;&gt; T536A01 | IPS Parts &gt;&gt; IBA8401 | IPS Parts &gt;&gt; IBA8403 | JAPKO &gt;&gt; 78401 | JAPKO &gt;&gt; 78400 | QH Talbros &gt;&gt; XIC8161</t>
  </si>
  <si>
    <t>Engine Code &gt;&gt; D16A8 | to construction year &gt;&gt; 12/1987 | Version &gt;&gt; Hitachi</t>
  </si>
  <si>
    <t>Engine Code &gt;&gt; D16A8 | to construction year &gt;&gt; 12/1988 | from construction year &gt;&gt; 01/1988 | Version &gt;&gt; Hitachi</t>
  </si>
  <si>
    <t>Engine Code &gt;&gt; D16A8 | from construction year &gt;&gt; 01/1989 | Version &gt;&gt; Hitachi</t>
  </si>
  <si>
    <t>from construction year &gt;&gt; 01/1988 | to construction year &gt;&gt; 12/1988 | Manufacturer Restriction &gt;&gt; HITACHI</t>
  </si>
  <si>
    <t>from construction year &gt;&gt; 01/1989 | Manufacturer Restriction &gt;&gt; HITACHI</t>
  </si>
  <si>
    <t>Engine Code &gt;&gt; D16A8 | to construction year &gt;&gt; 01/1988 | Version &gt;&gt; Hitachi</t>
  </si>
  <si>
    <t>Engine Code &gt;&gt; D16A8 | from construction year &gt;&gt; 02/1988 | Quantity Unit &gt;&gt; Kit | Version &gt;&gt; Hitachi</t>
  </si>
  <si>
    <t>to construction year &gt;&gt; 01/1988 | Manufacturer Restriction &gt;&gt; HITACHI</t>
  </si>
  <si>
    <t>from construction year &gt;&gt; 02/1988 | Manufacturer Restriction &gt;&gt; HITACHI</t>
  </si>
  <si>
    <t>Required quantity &gt;&gt; 2</t>
  </si>
  <si>
    <t>HONDA &gt;&gt; 91203611004 | HONDA &gt;&gt; 91203611003 | HONDA &gt;&gt; 91203PR4004 | HONDA &gt;&gt; 91203PG6013 | HONDA &gt;&gt; 91203PG6003 | HONDA &gt;&gt; 91203PFB003 | HONDA &gt;&gt; 91203PA5004 | ROVER &gt;&gt; LUC10009 | ROVER &gt;&gt; FDU2734 | REINZ &gt;&gt; 815321900 | PAYEN &gt;&gt; NJ254 | AJUSA &gt;&gt; 15005500 | CORTECO &gt;&gt; 19016482B | CORTECO &gt;&gt; 19016482</t>
  </si>
  <si>
    <t>to construction year &gt;&gt; 01/1988</t>
  </si>
  <si>
    <t>HONDA &gt;&gt; 36750SE0013 | HONDA &gt;&gt; 36750SE0003 | ISUZU &gt;&gt; 8941098630 | MITSUBISHI &gt;&gt; MB596608 | MITSUBISHI &gt;&gt; MB487644 | OPEL &gt;&gt; 1240554 | KIA &gt;&gt; 938103E000 | KIA &gt;&gt; 0K20C66490A | DAEWOO &gt;&gt; 8941098630 | DAEWOO &gt;&gt; 8571005030X | DAEWOO &gt;&gt; 8571005020X | GENERAL MOTORS &gt;&gt; 94109863 | LUCAS CAV &gt;&gt; SMB559 | VEMO &gt;&gt; V26730004 | EPS &gt;&gt; 1810044 | KW &gt;&gt; 510044 | FACET &gt;&gt; 71044 | INTERMOTOR &gt;&gt; 51316 | FAE &gt;&gt; 24600 | FUELPARTS &gt;&gt; BLS1009 | C.I. &gt;&gt; XBLS89</t>
  </si>
  <si>
    <t>HONDA &gt;&gt; 35600689003 | HONDA &gt;&gt; 35600PA5013 | HONDA &gt;&gt; 35600PE1951 | HONDA &gt;&gt; 35600PE0013 | HONDA &gt;&gt; 35600PA5003 | HONDA &gt;&gt; 35600PD2003 | HONDA &gt;&gt; 35600PB1003 | HONDA &gt;&gt; 35600PL3013 | HONDA &gt;&gt; 35600PK5003 | ROVER &gt;&gt; UMB100040 | ROVER &gt;&gt; FDU2766 | ROVER &gt;&gt; DBP9237 | ROVER &gt;&gt; DBP9877 | ROVER &gt;&gt; CDU51 | ROVER &gt;&gt; BNP4626 | ROVER &gt;&gt; BNP3520 | LAND ROVER &gt;&gt; CDU51L | HELLA &gt;&gt; 6ZF181612001 | QUINTON HAZELL &gt;&gt; XRLS77 | PEX &gt;&gt; 390088 | FACET &gt;&gt; 76093 | CALORSTAT by Vernet &gt;&gt; 5537 | FAE &gt;&gt; 40580 | STANDARD &gt;&gt; 54041 | STANDARD &gt;&gt; SRL012</t>
  </si>
  <si>
    <t>Number of ports,  &gt;&gt; 2 | for Art.No.,  &gt;&gt; 330762</t>
  </si>
  <si>
    <t>HONDA &gt;&gt; 35600689003 | HONDA &gt;&gt; 35600PA5013 | HONDA &gt;&gt; 35600PE1951 | HONDA &gt;&gt; 35600PE0013 | HONDA &gt;&gt; 35600PA5003 | HONDA &gt;&gt; 35600PD2003 | HONDA &gt;&gt; 35600PB1003 | HONDA &gt;&gt; 35600PL3013 | HONDA &gt;&gt; 35600PK5003 | ROVER &gt;&gt; BNP4626 | ROVER &gt;&gt; BNP3520 | ROVER &gt;&gt; UMB100040 | ROVER &gt;&gt; FDU2766 | ROVER &gt;&gt; DBP9877 | ROVER &gt;&gt; DBP9237 | ROVER &gt;&gt; CDU51L | ROVER &gt;&gt; CDU51 | VEMO &gt;&gt; V26730012 | FACET &gt;&gt; 76135 | FAE &gt;&gt; 40580 | STANDARD &gt;&gt; 54701 | STANDARD &gt;&gt; 54041 | LUCAS &gt;&gt; SMB530</t>
  </si>
  <si>
    <t>Thread Size,  &gt;&gt; M 14x1,5 | , terminal &gt;&gt; 2 | Cable Length, mm &gt;&gt; 270 |  &gt;&gt; without housing</t>
  </si>
  <si>
    <t>HONDA &gt;&gt; 35600PE1951 | HONDA &gt;&gt; 35600PE0013 | HONDA &gt;&gt; 35600PD2003 | HONDA &gt;&gt; 35600PB1003 | HONDA &gt;&gt; 35600PA5013 | HONDA &gt;&gt; 35600PA5003 | HONDA &gt;&gt; 35600689003 | HONDA &gt;&gt; 35600PL3013 | HONDA &gt;&gt; 35600PK5003 | ROVER &gt;&gt; UMB100040 | ROVER &gt;&gt; FDU2766 | ROVER &gt;&gt; DBP9877 | ROVER &gt;&gt; DBP9237 | ROVER &gt;&gt; CDU51 | ROVER &gt;&gt; BNP4626 | ROVER &gt;&gt; BNP3520 | LAND ROVER &gt;&gt; CDU51L</t>
  </si>
  <si>
    <t>The color is equivalent to the original part in,  &gt;&gt; Black | The color is equivalent to the original part in,  &gt;&gt; White | Thread Size,  &gt;&gt; M12x1,5 |  &gt;&gt; Bolted |  &gt;&gt; Black |  &gt;&gt; NTC Sensor | Rated Voltage, V &gt;&gt; 12 | Temp. Range, °C &gt;&gt; 25 | Temp. Range, °C &gt;&gt; 80 | Resistance, Ohm &gt;&gt; 2200 | Resistance, Ohm &gt;&gt; 268</t>
  </si>
  <si>
    <t>from construction year &gt;&gt; 01/1988 | to construction year &gt;&gt; 12/1989</t>
  </si>
  <si>
    <t>HONDA &gt;&gt; 37870PK2005 | HONDA &gt;&gt; 37870PJ7003 | HONDA &gt;&gt; 48160P6K004 | ISUZU &gt;&gt; 5862028470 | ROVER &gt;&gt; MEK100120 | ROVER &gt;&gt; GTR210 | ROVER &gt;&gt; MEK100070 | HELLA &gt;&gt; 009107511 | METZGER &gt;&gt; 0905058 | DELPHI DIESEL &gt;&gt; TS10180 | VEMO &gt;&gt; V26720002 | FACET &gt;&gt; 73198</t>
  </si>
  <si>
    <t>HONDA &gt;&gt; 37750PC1004 | MAZDA &gt;&gt; G60718510 | UNIPART &gt;&gt; GTR133</t>
  </si>
  <si>
    <t>Fitting Position &gt;&gt; Front Axle | only in connection with &gt;&gt; AK216</t>
  </si>
  <si>
    <t>HONDA &gt;&gt; 06302PT2000 | HONDA &gt;&gt; 06302PT2A00 | HONDA &gt;&gt; 06302PT2A01 | HONDA &gt;&gt; 30120PR3003 | HONDA &gt;&gt; 30120PMA01 | HONDA &gt;&gt; 30120PM5A01 | HONDA &gt;&gt; 06302PT3000 | HONDA &gt;&gt; 06302PT2A0 | HONDA &gt;&gt; 0632PT2A00 | HONDA &gt;&gt; 5DA006623401 | HONDA &gt;&gt; 06302PT3A00 | HONDA &gt;&gt; 30130PR4A02 | HONDA &gt;&gt; 30120PT2004 | HONDA &gt;&gt; 06302PT3004 | HONDA &gt;&gt; 30130P54006 | HONDA &gt;&gt; 30120PT3004 | HONDA &gt;&gt; 30120PT3003 | ROVER &gt;&gt; NJL100040 | BERU &gt;&gt; ZM023 | BERU &gt;&gt; 040401023 | BERU &gt;&gt; 40401023 | BERU &gt;&gt; 0040401023 | VALEO &gt;&gt; 245550 | BOSCH &gt;&gt; BIM079 | MAGNETI MARELLI &gt;&gt; 940038550010 | MAGNETI MARELLI &gt;&gt; 940038550 | MAGNETI MARELLI &gt;&gt; 000094038550 | NECTO &gt;&gt; MC8541 | NECTO &gt;&gt; MC8183 | NECTO &gt;&gt; MC8132 | LUCAS &gt;&gt; DAJ904</t>
  </si>
  <si>
    <t>Opening Temperature, °C &gt;&gt; 91 | Closing Temperature, °C &gt;&gt; 86</t>
  </si>
  <si>
    <t>HONDA &gt;&gt; 37760634005 | HONDA &gt;&gt; 37760611005 | HONDA &gt;&gt; 37760PB2003 | HONDA &gt;&gt; 37760PAO003 | HONDA &gt;&gt; 37760PAO001 | ROVER &gt;&gt; BNP1883 | SUZUKI &gt;&gt; 1768070020 | SUZUKI &gt;&gt; 1768078000</t>
  </si>
  <si>
    <t>FRECCIA</t>
  </si>
  <si>
    <t>Rocker/ Tappet</t>
  </si>
  <si>
    <t>O, mm &gt;&gt; 33 | Height, mm &gt;&gt; 24 |  &gt;&gt; Hydraulic</t>
  </si>
  <si>
    <t>ROVER &gt;&gt; LGR10002 | ROVER &gt;&gt; LGR100100 | RUVILLE &gt;&gt; 265801 | FEBI BILSTEIN &gt;&gt; 12769 | AJUSA &gt;&gt; 85004000 | SWAG &gt;&gt; 70180004 | INA &gt;&gt; 420005010 | BGA &gt;&gt; HL6335</t>
  </si>
  <si>
    <t>Cam Follower</t>
  </si>
  <si>
    <t>ROVER &gt;&gt; LGR100100 | ROVER &gt;&gt; LGR10002 | RUVILLE &gt;&gt; 265801 | FEBI BILSTEIN &gt;&gt; 12769 | AJUSA &gt;&gt; 85004000 | SWAG &gt;&gt; 70180004 | INA &gt;&gt; 420005010 | BGA &gt;&gt; HL6335</t>
  </si>
  <si>
    <t xml:space="preserve"> &gt;&gt; Mechanical | Teeth Quant.,  &gt;&gt; 19</t>
  </si>
  <si>
    <t>HONDA &gt;&gt; 19200P1JE02 | HONDA &gt;&gt; 19200P01003 | HONDA &gt;&gt; 19200P01004 | HONDA &gt;&gt; 19200PM3013 | HONDA &gt;&gt; 19200PM3004 | HONDA &gt;&gt; 19200P2AA02 | HONDA &gt;&gt; 19200PM3003 | HONDA &gt;&gt; 19200P2A003 | HONDA &gt;&gt; 19200P2A004 | HONDA &gt;&gt; 19200P2AA01 | ISUZU &gt;&gt; 5860036380 | ISUZU &gt;&gt; 5860036370 | ROVER &gt;&gt; GWP2163 | ROVER &gt;&gt; GWP2157 | ROVER &gt;&gt; GWP2161 | VALEO &gt;&gt; 506045 | RUVILLE &gt;&gt; 67450 | BOSCH &gt;&gt; 1987949706 | SKF &gt;&gt; VKPC87404 | HERTH+BUSS JAKOPARTS &gt;&gt; J1514019 | QUINTON HAZELL &gt;&gt; QCP3060 | PEX &gt;&gt; 190407 | AKS DASIS &gt;&gt; 780074N | MAGNETI MARELLI &gt;&gt; 350981613000 | FEBI BILSTEIN &gt;&gt; 17336 | TRISCAN &gt;&gt; 860040004 | TRISCAN &gt;&gt; 860040908 | TRISCAN &gt;&gt; 860017001 | BUGATTI &gt;&gt; PA5201 | METELLI &gt;&gt; 240428 | OPTIMAL &gt;&gt; AQ1332 | MEYLE &gt;&gt; 31131920001 | JAPANPARTS &gt;&gt; PQ419 | AIRTEX &gt;&gt; 1368 | HEPU &gt;&gt; P046 | GK &gt;&gt; 984046 | DENCKERMANN &gt;&gt; A310063P | DENCKERMANN &gt;&gt; A310063 | KOLBENSCHMIDT &gt;&gt; 50005084 | LPR &gt;&gt; WP0327 | KAVO PARTS &gt;&gt; HW1808 | DOLZ &gt;&gt; M144 | GRAF &gt;&gt; PA428 | KWP &gt;&gt; 10428 | SWAG &gt;&gt; 85150003 | AISIN &gt;&gt; WPH002 | ASHIKA &gt;&gt; 3504419 | CAR &gt;&gt; 331109 | Saleri SIL &gt;&gt; PA681P | NIPPARTS &gt;&gt; J1514019 | SASIC &gt;&gt; 9001005 | IPD &gt;&gt; P046 | FAI AutoParts &gt;&gt; WP6152 | KAGER &gt;&gt; 330167 | AUTEX &gt;&gt; 984046 | KUHLER SCHNEIDER &gt;&gt; 7701411 | BLUE PRINT &gt;&gt; ADH29116 | OPEN PARTS &gt;&gt; WAP811900 | AQUAPLUS &gt;&gt; 852560 | FIRST LINE &gt;&gt; FWP1486 | LUCAS ENGINE DRIVE &gt;&gt; LDWP0428 | ASHUKI &gt;&gt; 04539104 | IPS Parts &gt;&gt; IPW7419 | BGA &gt;&gt; CP2736 | JAPKO &gt;&gt; 35419 | KAISHIN &gt;&gt; WPK074 | THERMOTEC &gt;&gt; D14019TT</t>
  </si>
  <si>
    <t>HEPU</t>
  </si>
  <si>
    <t xml:space="preserve"> &gt;&gt; Pulley pressed on |  &gt;&gt; Mechanical | Teeth Quant.,  &gt;&gt; 19 | Weight, g &gt;&gt; 680 |  &gt;&gt; with seal</t>
  </si>
  <si>
    <t>HONDA &gt;&gt; 19200P10A02 | HONDA &gt;&gt; 19200P01003 | HONDA &gt;&gt; 19200P01004 | HONDA &gt;&gt; 19200PO1004 | HONDA &gt;&gt; 19200PO1003 | HONDA &gt;&gt; 19200PM3013 | HONDA &gt;&gt; 19200PM3014 | HONDA &gt;&gt; 19200PM3000 | HONDA &gt;&gt; 19200PM3003 | HONDA &gt;&gt; 19200PM3004 | ISUZU &gt;&gt; 5860036370 | ISUZU &gt;&gt; 5860036380 | MG &gt;&gt; GWP2161 | MG &gt;&gt; GWP2157 | MG &gt;&gt; GWP2163 | ROVER &gt;&gt; GWP2157 | ROVER &gt;&gt; PEB10139 | ROVER &gt;&gt; GWP2163 | ROVER &gt;&gt; GWP2161 | AUSTIN/MG &gt;&gt; GWP2157 | AUSTIN/MG &gt;&gt; GWP2163 | AUSTIN/MG &gt;&gt; GWP2161 | LAND ROVER &gt;&gt; PEB10139SLP | SPIDAN &gt;&gt; 60353 | HELLA &gt;&gt; 8MP376801311 | HK &gt;&gt; W17017 | HK &gt;&gt; W17000 | VALEO &gt;&gt; 506318 | VALEO &gt;&gt; 506045 | RUVILLE &gt;&gt; 67450 | BOSCH &gt;&gt; 1987949706 | SKF &gt;&gt; VKPC93211 | SKF &gt;&gt; VKPC87404 | HERTH+BUSS JAKOPARTS &gt;&gt; J1514019 | QUINTON HAZELL &gt;&gt; QCP3060 | GERI &gt;&gt; 332024 | GERI &gt;&gt; 332022 | GERI &gt;&gt; 330008 | PEX &gt;&gt; 190407 | AKS DASIS &gt;&gt; 780074N | DELPHI &gt;&gt; WP1730 | MAGNETI MARELLI &gt;&gt; 352316170445 | MAGNETI MARELLI &gt;&gt; 350981613000 | FEBI BILSTEIN &gt;&gt; 17336 | TRISCAN &gt;&gt; 860040908 | TRISCAN &gt;&gt; 860040004 | TRISCAN &gt;&gt; 860017001 | BUGATTI &gt;&gt; PA5201 | AURADIA &gt;&gt; HDW001 | METELLI &gt;&gt; 240428 | OPTIMAL &gt;&gt; AQ1332 | MAPCO &gt;&gt; 21521 | MEYLE &gt;&gt; 31131920001 | JWP &gt;&gt; HW1808 | JAPANPARTS &gt;&gt; PQ419 | JAPANPARTS &gt;&gt; JPQ419 | AIRTEX &gt;&gt; 1368 | GK &gt;&gt; K984046A | BERTOLOTTI &gt;&gt; WFP7275 | DENCKERMANN &gt;&gt; A310063 | KOLBENSCHMIDT &gt;&gt; 50005084 | GMB &gt;&gt; GWIS39A | GMB &gt;&gt; GWHO26A | NPW &gt;&gt; H25 | PARAUT &gt;&gt; H3029 | LPR &gt;&gt; WP0327 | KAVO PARTS &gt;&gt; HW1808 | HUTCHINSON &gt;&gt; WP0013V | UNIPART &gt;&gt; GWP376 | UNIPART &gt;&gt; GWP2876 | DOLZ &gt;&gt; M144 | GRAF &gt;&gt; PA428 | KWP &gt;&gt; 10428 | TRW &gt;&gt; FP7275 | SWAG &gt;&gt; 85150003 | HAVAM &gt;&gt; PA428 | AISIN &gt;&gt; WPH002 | IDROMEC &gt;&gt; PA43020 | ASHIKA &gt;&gt; 3504419 | ASHIKA &gt;&gt; 3501419 | CAR &gt;&gt; 331109 | Saleri SIL &gt;&gt; PA681P | Saleri SIL &gt;&gt; PA770 | NIPPARTS &gt;&gt; J1514019 | MGA &gt;&gt; PA428 | RHIAG &gt;&gt; WP681P | FENOX &gt;&gt; HB1425 | SASIC &gt;&gt; 9001005 | IPD &gt;&gt; P046 | FAI AutoParts &gt;&gt; WP6152 | KAGER &gt;&gt; 330167 | AUTEX &gt;&gt; 984046 | GP &gt;&gt; PA828 | KUHLER SCHNEIDER &gt;&gt; 7701411 | BLUE PRINT &gt;&gt; ADH29116 | GGT &gt;&gt; PA10726 | GGT &gt;&gt; PA10584 | OPEN PARTS &gt;&gt; WAP811900 | AQUAPLUS &gt;&gt; 852560 | FIRST LINE &gt;&gt; FWP1854 | FIRST LINE &gt;&gt; FWP1486 | COMLINE &gt;&gt; CHN21006 | LUCAS ENGINE DRIVE &gt;&gt; LDWP0428 | STATIM &gt;&gt; W805 | ASHUKI &gt;&gt; 04539104 | IPS Parts &gt;&gt; IPW7419 | BGA &gt;&gt; CP2736 | BGA &gt;&gt; CP18642 | THERMOTEC &gt;&gt; D14019TT</t>
  </si>
  <si>
    <t>GK</t>
  </si>
  <si>
    <t xml:space="preserve"> &gt;&gt; Pulley pressed on |  &gt;&gt; Mechanical | Weight, g &gt;&gt; 680</t>
  </si>
  <si>
    <t>HONDA &gt;&gt; 19200P10A02 | HONDA &gt;&gt; 19200P01003 | HONDA &gt;&gt; 19200P01004 | HONDA &gt;&gt; 19200PO1004 | HONDA &gt;&gt; 19200PO1003 | HONDA &gt;&gt; 19200PM3013 | HONDA &gt;&gt; 19200PM3014 | HONDA &gt;&gt; 19200PM3000 | HONDA &gt;&gt; 19200PM3003 | HONDA &gt;&gt; 19200PM3004 | ISUZU &gt;&gt; 5860036380 | ISUZU &gt;&gt; 5860036370 | MG &gt;&gt; GWP2163 | MG &gt;&gt; GWP2157 | MG &gt;&gt; GWP2161 | ROVER &gt;&gt; GWP2163 | ROVER &gt;&gt; GWP2161 | ROVER &gt;&gt; GWP2157 | ROVER &gt;&gt; PEB10139 | AUSTIN/MG &gt;&gt; GWP2163 | AUSTIN/MG &gt;&gt; GWP2161 | AUSTIN/MG &gt;&gt; GWP2157 | SPIDAN &gt;&gt; 60353 | HK &gt;&gt; W17000 | HK &gt;&gt; W17017 | VALEO &gt;&gt; 506318 | VALEO &gt;&gt; 506045 | RUVILLE &gt;&gt; 67450 | BOSCH &gt;&gt; 1987949706 | SKF &gt;&gt; VKPC87404 | HERTH+BUSS JAKOPARTS &gt;&gt; J1514019 | QUINTON HAZELL &gt;&gt; QCP3060 | GERI &gt;&gt; 332024 | GERI &gt;&gt; 332022 | GERI &gt;&gt; 330008 | PEX &gt;&gt; 190407 | AKS DASIS &gt;&gt; 780074N | DELPHI &gt;&gt; WP1730 | MAGNETI MARELLI &gt;&gt; 350981613000 | FEBI BILSTEIN &gt;&gt; 17336 | TRISCAN &gt;&gt; 860040004 | TRISCAN &gt;&gt; 860040908 | TRISCAN &gt;&gt; 860017001 | BUGATTI &gt;&gt; PA5201 | AURADIA &gt;&gt; HDW001 | METELLI &gt;&gt; 240428 | OPTIMAL &gt;&gt; AQ1332 | MEYLE &gt;&gt; 31131920001 | JWP &gt;&gt; HW1808 | JAPANPARTS &gt;&gt; PQ419 | JAPANPARTS &gt;&gt; JPQ419 | AIRTEX &gt;&gt; 1368 | HEPU &gt;&gt; P046 | GK &gt;&gt; K984046A | DENCKERMANN &gt;&gt; A310063 | KOLBENSCHMIDT &gt;&gt; 50005084 | GMB &gt;&gt; GWIS39A | GMB &gt;&gt; GWHO26A | NPW &gt;&gt; H25 | PARAUT &gt;&gt; H3029 | LPR &gt;&gt; WP0327 | KAVO PARTS &gt;&gt; HW1808 | HUTCHINSON &gt;&gt; WP0013V | DOLZ &gt;&gt; M144 | GRAF &gt;&gt; PA428 | KWP &gt;&gt; 10428 | SWAG &gt;&gt; 85150003 | HAVAM &gt;&gt; PA428 | AISIN &gt;&gt; WPH002 | ASHIKA &gt;&gt; 3504419 | CAR &gt;&gt; 331109 | Saleri SIL &gt;&gt; PA681P | Saleri SIL &gt;&gt; PA770 | NIPPARTS &gt;&gt; J1514019 | MGA &gt;&gt; PA428 | FENOX &gt;&gt; HB1425 | SASIC &gt;&gt; 9001005 | FAI AutoParts &gt;&gt; WP6152 | KAGER &gt;&gt; 330167 | AUTEX &gt;&gt; 984046 | GP &gt;&gt; PA828 | KUHLER SCHNEIDER &gt;&gt; 7701411 | GGT &gt;&gt; PA10584 | OPEN PARTS &gt;&gt; WAP811900 | AQUAPLUS &gt;&gt; 852560 | FIRST LINE &gt;&gt; FWP1486 | COMLINE &gt;&gt; CHN21006 | LUCAS ENGINE DRIVE &gt;&gt; LDWP0428 | STATIM &gt;&gt; W805 | ASHUKI &gt;&gt; 04539104 | IPS Parts &gt;&gt; IPW7419</t>
  </si>
  <si>
    <t>AUSTIN &gt;&gt; GWP2157 | AUSTIN &gt;&gt; GWP2163 | AUSTIN &gt;&gt; GWP2161 | HONDA &gt;&gt; 19200PM3013 | HONDA &gt;&gt; 19200PM3004 | HONDA &gt;&gt; 19200PM3000 | HONDA &gt;&gt; 19200PM3003 | HONDA &gt;&gt; 19200P10A02 | HONDA &gt;&gt; 19200P1JE02 | HONDA &gt;&gt; 19200P01004 | HONDA &gt;&gt; 19200PO1004 | HONDA &gt;&gt; 19200P01003 | HONDA &gt;&gt; 19200PO1003 | HONDA &gt;&gt; 19200PM3014 | TOYOTA &gt;&gt; 1610087706 | TOYOTA &gt;&gt; 1610087705 | RUVILLE &gt;&gt; 67450 | BOSCH &gt;&gt; 1987949706 | SKF &gt;&gt; VKPC87404 | QUINTON HAZELL &gt;&gt; QCP3060 | DELPHI &gt;&gt; WP1730 | BUGATTI &gt;&gt; PA5201 | METELLI &gt;&gt; PA428 | JAPANPARTS &gt;&gt; PQ419 | AIRTEX &gt;&gt; AW9130 | AIRTEX &gt;&gt; WP756 | HEPU &gt;&gt; P777 | HEPU &gt;&gt; P046 | GMB &gt;&gt; GWHO26A | NPW &gt;&gt; H25 | NPW &gt;&gt; I52 | DOLZ &gt;&gt; M144 | KWP &gt;&gt; 10428 | SALERI &gt;&gt; PA681P | ASHIKA &gt;&gt; 3504419 | NIPPARTS &gt;&gt; J1514019 | BLUE PRINT &gt;&gt; ADH29116 | BLUE PRINT &gt;&gt; WP5285 | FIRST LINE &gt;&gt; FWP1486 | CECAUTO &gt;&gt; 2513680 | CECAUTO &gt;&gt; 251368</t>
  </si>
  <si>
    <t>HONDA &gt;&gt; 19200PG6405 | HONDA &gt;&gt; 19200PG6305 | HONDA &gt;&gt; 19200PG6000 | SKF &gt;&gt; VKPC93413 | HERTH+BUSS JAKOPARTS &gt;&gt; J1514016 | QUINTON HAZELL &gt;&gt; QCP2740 | DELPHI &gt;&gt; WP2071 | COPARTS &gt;&gt; 1022090 | METELLI &gt;&gt; 240778 | JWP &gt;&gt; HW3809 | HEPU &gt;&gt; P7804 | GMB &gt;&gt; GWHO24A | NPW &gt;&gt; H30 | PARAUT &gt;&gt; H3025 | UNIPART &gt;&gt; GWP2559 | AUGROS &gt;&gt; 5072551Q | DOLZ &gt;&gt; H123 | GRAF &gt;&gt; PA768 | KRULL &gt;&gt; 987804 | KWP &gt;&gt; 10778 | SALERI &gt;&gt; PA778 | SALERI &gt;&gt; PA770 | AISIN &gt;&gt; WPH013 | FAI AutoParts &gt;&gt; WP2740 | BLUE PRINT &gt;&gt; ADH29121 | AQUAPLUS &gt;&gt; 852565 | SOLID AUTO (UK) &gt;&gt; H123014 | FIRST LINE &gt;&gt; FWP1446</t>
  </si>
  <si>
    <t>HONDA &gt;&gt; 19200PG8000 | HONDA &gt;&gt; 19200P01004 | HONDA &gt;&gt; 19200P1JE02 | HONDA &gt;&gt; 19200PM3013 | HONDA &gt;&gt; 19200PM3014 | HONDA &gt;&gt; 19200PM3000 | HONDA &gt;&gt; 19200P01003 | HONDA &gt;&gt; 19200PM3004 | HONDA &gt;&gt; 19200PM3003 | ISUZU &gt;&gt; 5860036380 | ISUZU &gt;&gt; 5860036370 | ROVER &gt;&gt; GWP2157 | ROVER &gt;&gt; GWP2161 | ROVER &gt;&gt; GWP2163 | AUSTIN/MG &gt;&gt; GWP2161 | AUSTIN/MG &gt;&gt; GWP2163 | SPIDAN &gt;&gt; 60353 | HK &gt;&gt; W17000 | HK &gt;&gt; W17017 | VALEO &gt;&gt; 506318 | VALEO &gt;&gt; 506045 | RUVILLE &gt;&gt; 67450 | SKF &gt;&gt; VKPC87404 | QUINTON HAZELL &gt;&gt; QCP3060 | GERI &gt;&gt; 330008 | GERI &gt;&gt; 332024 | GERI &gt;&gt; 332022 | PEX &gt;&gt; 190407 | DELPHI &gt;&gt; WP1730 | FEBI BILSTEIN &gt;&gt; 17336 | TRISCAN &gt;&gt; 860040908 | TRISCAN &gt;&gt; 860040004 | METELLI &gt;&gt; 240428 | JWP &gt;&gt; HW1808 | JAPANPARTS &gt;&gt; PQ419 | JAPANPARTS &gt;&gt; JPQ419 | AIRTEX &gt;&gt; 1368 | GMB &gt;&gt; GWHO26A | NPW &gt;&gt; H25 | PARAUT &gt;&gt; H3029 | DOLZ &gt;&gt; M144 | GRAF &gt;&gt; PA428 | KWP &gt;&gt; 10428 | SWAG &gt;&gt; 85150003 | AISIN &gt;&gt; WPH002 | ASHIKA &gt;&gt; 3504419 | Saleri SIL &gt;&gt; PA770 | Saleri SIL &gt;&gt; PA681P | NIPPARTS &gt;&gt; J1514019 | BLUE PRINT &gt;&gt; ADH29116 | IPS Parts &gt;&gt; IPW7419</t>
  </si>
  <si>
    <t>Weight, kg &gt;&gt; 0,678</t>
  </si>
  <si>
    <t>HONDA &gt;&gt; 19200P01003 | HONDA &gt;&gt; 19200P01004 | HONDA &gt;&gt; 19200PM3004 | HONDA &gt;&gt; 19200PM3003 | HONDA &gt;&gt; 5860036380 | HONDA &gt;&gt; 19200P1JE02 | HONDA &gt;&gt; 19200PM3000 | HONDA &gt;&gt; 5860036370 | HONDA &gt;&gt; 19200PM3013 | HONDA &gt;&gt; 19200PM3014 | ISUZU &gt;&gt; 586003638Z | ISUZU &gt;&gt; 586003637Z | ROVER &gt;&gt; GWP2157 | ROVER &gt;&gt; PEB10139 | ROVER &gt;&gt; GWP2161 | ROVER &gt;&gt; GWP2163 | SPIDAN &gt;&gt; 0060353 | RUVILLE &gt;&gt; 67450 | SKF &gt;&gt; VKPC87404 | HEPU &gt;&gt; P046 | DOLZ &gt;&gt; M144</t>
  </si>
  <si>
    <t xml:space="preserve"> &gt;&gt; Pulley pressed on |  &gt;&gt; Mechanical | Teeth Quant.,  &gt;&gt; 19 | Weight, g &gt;&gt; 680</t>
  </si>
  <si>
    <t>HONDA &gt;&gt; 19200PM3003 | HONDA &gt;&gt; 19200PM3004 | HONDA &gt;&gt; 19200P10A02 | HONDA &gt;&gt; 19200PM3000 | HONDA &gt;&gt; 19200P01003 | HONDA &gt;&gt; 19200P01004 | HONDA &gt;&gt; 19200PO1003 | HONDA &gt;&gt; 19200PO1004 | HONDA &gt;&gt; 19200PM3013 | HONDA &gt;&gt; 19200PM3014 | ISUZU &gt;&gt; 5860036380 | ISUZU &gt;&gt; 5860036370 | MG &gt;&gt; GWP2163 | MG &gt;&gt; GWP2161 | MG &gt;&gt; GWP2157 | ROVER &gt;&gt; GWP2163 | ROVER &gt;&gt; GWP2161 | ROVER &gt;&gt; GWP2157 | ROVER &gt;&gt; PEB10139 | AUSTIN/MG &gt;&gt; GWP2163 | AUSTIN/MG &gt;&gt; GWP2161 | AUSTIN/MG &gt;&gt; GWP2157 | SPIDAN &gt;&gt; 60353 | HK &gt;&gt; W17017 | HK &gt;&gt; W17000 | VALEO &gt;&gt; 506045 | VALEO &gt;&gt; 506318 | RUVILLE &gt;&gt; 67450 | BOSCH &gt;&gt; 1987949706 | SKF &gt;&gt; VKPC87404 | HERTH+BUSS JAKOPARTS &gt;&gt; J1514019 | QUINTON HAZELL &gt;&gt; QCP3060 | GERI &gt;&gt; 332024 | GERI &gt;&gt; 332022 | GERI &gt;&gt; 330008 | PEX &gt;&gt; 190407 | AKS DASIS &gt;&gt; 780074N | DELPHI &gt;&gt; WP1730 | MAGNETI MARELLI &gt;&gt; 350981613000 | FEBI BILSTEIN &gt;&gt; 17336 | TRISCAN &gt;&gt; 860040908 | TRISCAN &gt;&gt; 860040004 | TRISCAN &gt;&gt; 860017001 | BUGATTI &gt;&gt; PA5201 | AURADIA &gt;&gt; HDW001 | METELLI &gt;&gt; 240428 | OPTIMAL &gt;&gt; AQ1332 | MEYLE &gt;&gt; 31131920001 | JWP &gt;&gt; HW1808 | JAPANPARTS &gt;&gt; PQ419 | JAPANPARTS &gt;&gt; JPQ419 | AIRTEX &gt;&gt; 1368 | GK &gt;&gt; K984046A | DENCKERMANN &gt;&gt; A310063 | KOLBENSCHMIDT &gt;&gt; 50005084 | GMB &gt;&gt; GWHO26A | GMB &gt;&gt; GWIS39A | NPW &gt;&gt; H25 | PARAUT &gt;&gt; H3029 | LPR &gt;&gt; WP0327 | KAVO PARTS &gt;&gt; HW1808 | HUTCHINSON &gt;&gt; WP0013V | DOLZ &gt;&gt; M144 | GRAF &gt;&gt; PA428 | KWP &gt;&gt; 10428 | SWAG &gt;&gt; 85150003 | HAVAM &gt;&gt; PA428 | AISIN &gt;&gt; WPH002 | ASHIKA &gt;&gt; 3504419 | CAR &gt;&gt; 331109 | Saleri SIL &gt;&gt; PA681P | Saleri SIL &gt;&gt; PA770 | NIPPARTS &gt;&gt; J1514019 | MGA &gt;&gt; PA428 | FENOX &gt;&gt; HB1425 | SASIC &gt;&gt; 9001005 | IPD &gt;&gt; P046 | FAI AutoParts &gt;&gt; WP6152 | KAGER &gt;&gt; 330167 | AUTEX &gt;&gt; 984046 | GP &gt;&gt; PA828 | KUHLER SCHNEIDER &gt;&gt; 7701411 | GGT &gt;&gt; PA10584 | OPEN PARTS &gt;&gt; WAP811900 | AQUAPLUS &gt;&gt; 852560 | FIRST LINE &gt;&gt; FWP1486 | COMLINE &gt;&gt; CHN21006 | LUCAS ENGINE DRIVE &gt;&gt; LDWP0428 | STATIM &gt;&gt; W805 | ASHUKI &gt;&gt; 04539104 | IPS Parts &gt;&gt; IPW7419</t>
  </si>
  <si>
    <t>Inlet Valve</t>
  </si>
  <si>
    <t>Valve Head O, mm &gt;&gt; 29 | Valve Stem O, mm &gt;&gt; 5,5 | Length, mm &gt;&gt; 115 | Valve Seat Angle, ° &gt;&gt; 45 |  &gt;&gt; Chrome-silicon-steel |  &gt;&gt; Nitrided valve stem | Port Type,  &gt;&gt; E</t>
  </si>
  <si>
    <t>HONDA &gt;&gt; 14711PM3000 | AE &gt;&gt; V91730 | TRW &gt;&gt; V3816 | IPSA &gt;&gt; VL113300 | MAHLE ORIGINAL &gt;&gt; 631VE30906000</t>
  </si>
  <si>
    <t>Valve</t>
  </si>
  <si>
    <t>Inlet</t>
  </si>
  <si>
    <t>Valve Head O, mm &gt;&gt; 30 | Valve Stem O, mm &gt;&gt; 6,6 | Length, mm &gt;&gt; 105,5 | Valve Seat Angle, ° &gt;&gt; 45 |  &gt;&gt; Chrome-silicon-steel |  &gt;&gt; Nitrided valve stem | Port Type,  &gt;&gt; E</t>
  </si>
  <si>
    <t>HONDA &gt;&gt; 14711PG6000 | AE &gt;&gt; V91732 | TRW &gt;&gt; V3436 | IPSA &gt;&gt; VL114400</t>
  </si>
  <si>
    <t>Exhaust Valve</t>
  </si>
  <si>
    <t>Valve Head O, mm &gt;&gt; 24,9 | Valve Stem O, mm &gt;&gt; 5,5 | Length, mm &gt;&gt; 118,7 | Valve Seat Angle, ° &gt;&gt; 45 |  &gt;&gt; Chrome-Mangan-Nickel Steel |  &gt;&gt; Nitrided valve stem | Port Type,  &gt;&gt; E</t>
  </si>
  <si>
    <t>HONDA &gt;&gt; 14721PM3000 | AE &gt;&gt; V91731 | TRW &gt;&gt; S3817 | IPSA &gt;&gt; VL113400 | MAHLE ORIGINAL &gt;&gt; 631VA30907100</t>
  </si>
  <si>
    <t>Exhaust</t>
  </si>
  <si>
    <t>Valve Head O, mm &gt;&gt; 27 | Valve Stem O, mm &gt;&gt; 6,6 | Length, mm &gt;&gt; 104,6 | Valve Seat Angle, ° &gt;&gt; 45 |  &gt;&gt; Chrome-Mangan-Nickel Steel |  &gt;&gt; Nitrided valve stem | Port Type,  &gt;&gt; E</t>
  </si>
  <si>
    <t>HONDA &gt;&gt; 14721PG6000 | AE &gt;&gt; V91733 | TRW &gt;&gt; S4276 | IPSA &gt;&gt; VL114500</t>
  </si>
  <si>
    <t>Valve Guides</t>
  </si>
  <si>
    <t>Length, mm &gt;&gt; 47,5 |  &gt;&gt; Grey Cast Iron | Inner Diameter, mm &gt;&gt; 5,5 | Outer Diameter, mm &gt;&gt; 11,11 |  &gt;&gt; for intake valves</t>
  </si>
  <si>
    <t>IPSA &gt;&gt; VG071700</t>
  </si>
  <si>
    <t>Guide</t>
  </si>
  <si>
    <t>Length, mm &gt;&gt; 54 |  &gt;&gt; Grey Cast Iron | Inner Diameter, mm &gt;&gt; 5,5 | Outer Diameter, mm &gt;&gt; 11,11 |  &gt;&gt; for exhaust valves</t>
  </si>
  <si>
    <t>IPSA &gt;&gt; VG071800</t>
  </si>
  <si>
    <t>Length, mm &gt;&gt; 47,5 |  &gt;&gt; Grey Cast Iron | Inner Diameter, mm &gt;&gt; 5,5 | Outer Diameter, mm &gt;&gt; 11,06 |  &gt;&gt; for intake valves</t>
  </si>
  <si>
    <t>HONDA &gt;&gt; 12204PJ7305 | ROVER &gt;&gt; FDU1256 | METELLI &gt;&gt; 012319 | IPSA &gt;&gt; VG060900</t>
  </si>
  <si>
    <t>Length, mm &gt;&gt; 54 |  &gt;&gt; Grey Cast Iron | Inner Diameter, mm &gt;&gt; 5,5 | Outer Diameter, mm &gt;&gt; 11,06 |  &gt;&gt; for exhaust valves</t>
  </si>
  <si>
    <t>HONDA &gt;&gt; 12205PJ7305 | ROVER &gt;&gt; FDU1260 | METELLI &gt;&gt; 012320 | IPSA &gt;&gt; VG061000</t>
  </si>
  <si>
    <t>HONDA &gt;&gt; 48160P6K004 | HONDA &gt;&gt; 37870PK2005 | HONDA &gt;&gt; 37870PJ7003 | ISUZU &gt;&gt; 5862028470 | ROVER &gt;&gt; MEK100120 | ROVER &gt;&gt; MEK100070 | HELLA &gt;&gt; 6PT009107511 | UNIPART &gt;&gt; GTR210</t>
  </si>
  <si>
    <t>Hatchback</t>
  </si>
  <si>
    <t xml:space="preserve"> &gt;&gt; CV Joint | Ext. Teeth, wheel side,  &gt;&gt; 26 | Int. teeth. wheel side,  &gt;&gt; 32 | Seal diam., mm &gt;&gt; 49</t>
  </si>
  <si>
    <t>HONDA &gt;&gt; 44305SA5623 | HONDA &gt;&gt; 44305SB0040 | HONDA &gt;&gt; 44305SB0B00 | HONDA &gt;&gt; 44305SB2983 | HONDA &gt;&gt; 44305SD2010 | HONDA &gt;&gt; 44306SA5624 | HONDA &gt;&gt; 44306SK7020 | HONDA &gt;&gt; 44306SK7010 | HONDA &gt;&gt; 44306SA5623 | HONDA &gt;&gt; 44306SH9J01 | HONDA &gt;&gt; 44306SH9J00 | HONDA &gt;&gt; 44305SK7040 | HONDA &gt;&gt; 44306SA5622 | HONDA &gt;&gt; 44306SH9415 | HONDA &gt;&gt; 44306SH9325 | HONDA &gt;&gt; 44306SH3J11 | HONDA &gt;&gt; 44306SH9306 | HONDA &gt;&gt; 44305SH3J00 | HONDA &gt;&gt; 44305SB2982 | HONDA &gt;&gt; 44305SK7020 | HONDA &gt;&gt; 44306SH3J10 | HONDA &gt;&gt; 44306SH3J01 | HONDA &gt;&gt; 44305SK7010 | HONDA &gt;&gt; 44306SH3J00 | HONDA &gt;&gt; 44306SH3G26 | HONDA &gt;&gt; 44306SH3G22 | HONDA &gt;&gt; 44305SH3J01 | HONDA &gt;&gt; 44306SH3G25 | HONDA &gt;&gt; 44306SH3G24 | HONDA &gt;&gt; 44306SH3G23 | HONDA &gt;&gt; 44305SF0971 | HONDA &gt;&gt; 44305SB0971 | HONDA &gt;&gt; 44305SB0972 | HONDA &gt;&gt; 44305SH3G25 | HONDA &gt;&gt; 44306SF0974 | HONDA &gt;&gt; 44306SF0973 | HONDA &gt;&gt; 44305SH3G24 | HONDA &gt;&gt; 44306SF0972 | HONDA &gt;&gt; 44306SF0971 | HONDA &gt;&gt; 44305SH3G22 | HONDA &gt;&gt; 44305SH3G23 | HONDA &gt;&gt; 44306SF0970 | HONDA &gt;&gt; 44306SF0672 | HONDA &gt;&gt; 44306SF0622 | HONDA &gt;&gt; 44306SF0671 | HONDA &gt;&gt; 44306SD2964 | HONDA &gt;&gt; 44305SB0970 | HONDA &gt;&gt; 44305SH3G21 | HONDA &gt;&gt; 44306SF0621 | HONDA &gt;&gt; 44306SE7783 | HONDA &gt;&gt; 44305SF0973 | HONDA &gt;&gt; 44306SE7782 | HONDA &gt;&gt; 44306SE7781 | HONDA &gt;&gt; 44306SD2965 | HONDA &gt;&gt; 44305SF0972 | HONDA &gt;&gt; 44306SE7780 | HONDA &gt;&gt; 44306SD2966 | HONDA &gt;&gt; 44305SD2020 | HONDA &gt;&gt; 44305SA5972 | HONDA &gt;&gt; 44305SB0020 | HONDA &gt;&gt; 44305SB0030 | HONDA &gt;&gt; 44305SF0622 | HONDA &gt;&gt; 44306SD2963 | HONDA &gt;&gt; 44306SD2962 | HONDA &gt;&gt; 44305SF0621 | HONDA &gt;&gt; 44306SD2961 | HONDA &gt;&gt; 44306SD2904 | HONDA &gt;&gt; 44305SE7752 | HONDA &gt;&gt; 44305SE7753 | HONDA &gt;&gt; 44306SD2903 | HONDA &gt;&gt; 44306SD2902 | HONDA &gt;&gt; 44306SD2900 | HONDA &gt;&gt; 44306SD2901 | HONDA &gt;&gt; 44305SD2965 | HONDA &gt;&gt; 44305SB0010 | HONDA &gt;&gt; 44305SE7751 | HONDA &gt;&gt; 44306SD2040 | HONDA &gt;&gt; 44306SD2030 | HONDA &gt;&gt; 44305SE7750 | HONDA &gt;&gt; 44306SD2020 | HONDA &gt;&gt; 44306SD2010 | HONDA &gt;&gt; 44306SB0972 | HONDA &gt;&gt; 44305SE7050 | HONDA &gt;&gt; 44306SB2983 | HONDA &gt;&gt; 44306SB2982 | HONDA &gt;&gt; 44306SB0B00 | HONDA &gt;&gt; 44306SA5660 | HONDA &gt;&gt; 44305SA5970 | HONDA &gt;&gt; 44305SA5971 | HONDA &gt;&gt; 44305SD2964 | HONDA &gt;&gt; 44306SB0971 | HONDA &gt;&gt; 44306SB0970 | HONDA &gt;&gt; 44305SD2963 | HONDA &gt;&gt; 44306SB0652 | HONDA &gt;&gt; 44306SB0651 | HONDA &gt;&gt; 44305SD2961 | HONDA &gt;&gt; 44305SD2962 | HONDA &gt;&gt; 44306SB0650 | HONDA &gt;&gt; 44306SB0050 | HONDA &gt;&gt; 44306SB0030 | HONDA &gt;&gt; 44306SB0040 | HONDA &gt;&gt; 44306SK7040 | HONDA &gt;&gt; 44305SA5624 | HONDA &gt;&gt; 44305SD2050 | HONDA &gt;&gt; 44306SB0020 | HONDA &gt;&gt; 44306SB0010 | HONDA &gt;&gt; 44305SD2040 | HONDA &gt;&gt; 44306SA5972 | HONDA &gt;&gt; 44306SA5971 | HONDA &gt;&gt; 44306SA5661 | HONDA &gt;&gt; 44305SD2030 | HONDA &gt;&gt; 44306SA5970 | HONDA &gt;&gt; 44306SA5662 | SPIDAN &gt;&gt; 20312 | SPIDAN &gt;&gt; 20311 | SPIDAN &gt;&gt; 20310 | SPIDAN &gt;&gt; 20309 | HERTH+BUSS JAKOPARTS &gt;&gt; J2834012 | HERTH+BUSS JAKOPARTS &gt;&gt; J2824025 | QUINTON HAZELL &gt;&gt; QVJ855 | EKG &gt;&gt; 920312 | EKG &gt;&gt; 920311 | EKG &gt;&gt; 920310 | EKG &gt;&gt; 920309 | PEX &gt;&gt; 10035 | FRIESEN &gt;&gt; QVJ855 | FRIESEN &gt;&gt; QVJ854 | FARCOM &gt;&gt; 134130 | FARCOM &gt;&gt; 134029 | FARCOM &gt;&gt; 134031 | FARCOM &gt;&gt; 134028 | FARCOM &gt;&gt; 134030 | TRISCAN &gt;&gt; 854040108 | METELLI &gt;&gt; 151101 | METELLI &gt;&gt; 151113 | NK &gt;&gt; 512615 | URW &gt;&gt; MS81280 | URW &gt;&gt; MS81360 | URW &gt;&gt; MS81160 | JAPANPARTS &gt;&gt; JGI420 | JAPANPARTS &gt;&gt; JGI418 | GLO &gt;&gt; 3581K | LPR &gt;&gt; KHO334 | LPR &gt;&gt; KHO280 | NIPPARTS &gt;&gt; J2824012 | INTERPARTS &gt;&gt; OJ0810 | CIFAM &gt;&gt; 607113 | FIRST LINE &gt;&gt; 300993 | VEMA &gt;&gt; 18271</t>
  </si>
  <si>
    <t>Technical Information Number &gt;&gt; 6F652</t>
  </si>
  <si>
    <t>Technical Information Number &gt;&gt; 8C5F0</t>
  </si>
  <si>
    <t xml:space="preserve"> &gt;&gt; CV Joint | Ext. Teeth, wheel side,  &gt;&gt; 26 | Int. teeth. wheel side,  &gt;&gt; 32 | Seal diam., mm &gt;&gt; 49 | Outer Diameter, mm &gt;&gt; 87 |  &gt;&gt; with groove in internal component</t>
  </si>
  <si>
    <t>Fitting Position &gt;&gt; Wheel Side | Transmission Type &gt;&gt; DA4</t>
  </si>
  <si>
    <t>HONDA &gt;&gt; 44305SD2010 | HONDA &gt;&gt; 44305SD2962 | HONDA &gt;&gt; 44305SB2982 | HONDA &gt;&gt; 44305SD2965 | HONDA &gt;&gt; 44306SD2900 | HONDA &gt;&gt; 44306SD2030 | HONDA &gt;&gt; 44305SD2964 | HONDA &gt;&gt; 44306SD2020 | HONDA &gt;&gt; 44306SD2010 | HONDA &gt;&gt; 44305SH3J01 | HONDA &gt;&gt; 44305SD2963 | HONDA &gt;&gt; 44306SB2982 | HONDA &gt;&gt; 44305SK7040 | HONDA &gt;&gt; 44306SK7040 | HONDA &gt;&gt; 44306SK7010 | HONDA &gt;&gt; 44306SH3J10 | HONDA &gt;&gt; 44305SK7010 | HONDA &gt;&gt; 44306SH9J01 | HONDA &gt;&gt; 44306SH9J00 | HONDA &gt;&gt; 44306SH3J11 | HONDA &gt;&gt; 44305SE7050 | HONDA &gt;&gt; 44305SD2040 | HONDA &gt;&gt; 44305SD2961 | HONDA &gt;&gt; 44305SH3J00 | HONDA &gt;&gt; 44306SH3J01 | HONDA &gt;&gt; 44306SH3J00 | HONDA &gt;&gt; 44305SH3G25 | HONDA &gt;&gt; 44306SH3G26 | HONDA &gt;&gt; 44306SH3G24 | HONDA &gt;&gt; 44305SH3G21 | HONDA &gt;&gt; 44305SH3G23 | HONDA &gt;&gt; 44306SH3G22 | HONDA &gt;&gt; 44306SF0973 | HONDA &gt;&gt; 44306SF0970 | HONDA &gt;&gt; 44306SF0971 | HONDA &gt;&gt; 44306SD2901 | HONDA &gt;&gt; 44305SD2020 | HONDA &gt;&gt; 44305SF0972 | HONDA &gt;&gt; 44306SE7782 | HONDA &gt;&gt; 44306SD2965 | HONDA &gt;&gt; 44305SF0971 | HONDA &gt;&gt; 44306SD2964 | HONDA &gt;&gt; 44306SD2963 | HONDA &gt;&gt; 44306SD2903 | HONDA &gt;&gt; 44305SE7752 | HONDA &gt;&gt; 44306SD2962 | HONDA &gt;&gt; 44306SD2961 | SPIDAN &gt;&gt; 20311 | SPIDAN &gt;&gt; 20312 | RUVILLE &gt;&gt; 77415S | SKF &gt;&gt; VKJA5646 | LOBRO &gt;&gt; 300993 | LOBRO &gt;&gt; 302088 | LOBRO &gt;&gt; 302087 | GCK &gt;&gt; HO204016 | GLO &gt;&gt; P081K | GLO &gt;&gt; 3081K | LPR &gt;&gt; KHO280 | INTERBRAKE &gt;&gt; GHO2800K | GENERAL RICAMBI &gt;&gt; HO1040</t>
  </si>
  <si>
    <t>ALFA ROMEO &gt;&gt; 108017 | ALFA ROMEO &gt;&gt; 107037 | ALFA ROMEO &gt;&gt; 107037B | ALFA ROMEO &gt;&gt; 119001020700 | ALFA ROMEO &gt;&gt; 60517424 | AUDI &gt;&gt; 068903137B | AUDI &gt;&gt; 059903137 | AUDI &gt;&gt; 054903137D | AUDI &gt;&gt; 053121039A | AUSTIN &gt;&gt; GFB273 | AUSTIN &gt;&gt; GFB10875 | AUSTIN &gt;&gt; AAU8072 | BMW &gt;&gt; 12318602025 | BMW &gt;&gt; 12311254121 | BMW &gt;&gt; 12311268675 | BMW &gt;&gt; 9990155 | DAIHATSU &gt;&gt; 9004832024 | DAIHATSU &gt;&gt; 9932100870 | FIAT &gt;&gt; 7546910 | FORD &gt;&gt; 84HF6C301BA | FORD &gt;&gt; 83HF6C301AA | FORD &gt;&gt; 72HF8620BA | FORD &gt;&gt; 6107712 | FORD &gt;&gt; 6146161 | HONDA &gt;&gt; 56992PE0003 | HONDA &gt;&gt; 56992PE0004 | HONDA &gt;&gt; 31110679014 | HONDA &gt;&gt; 31110679004 | IVECO &gt;&gt; 4688863 | JAGUAR &gt;&gt; C36122 | MERCEDES-BENZ &gt;&gt; 0059978392 | MERCEDES-BENZ &gt;&gt; 0029978492 | MERCEDES-BENZ &gt;&gt; 0019974592 | MERCEDES-BENZ &gt;&gt; 0009975992 | MERCEDES-BENZ &gt;&gt; A0009975992 | MERCEDES-BENZ &gt;&gt; A0029978492 | MERCEDES-BENZ &gt;&gt; A0059978392 | MERCEDES-BENZ &gt;&gt; A0019974592 | MERCEDES-BENZ &gt;&gt; 95X875N275 | MG &gt;&gt; GFB273 | MG &gt;&gt; GFB10875 | MG &gt;&gt; AAU8072 | MORRIS &gt;&gt; GFB273 | MORRIS &gt;&gt; GFB10875 | MORRIS &gt;&gt; AAU8072 | NISSAN &gt;&gt; 11720V5510 | NISSAN &gt;&gt; 11720W4405 | NISSAN &gt;&gt; 11720V5501 | NISSAN &gt;&gt; 11720V5500 | NISSAN &gt;&gt; 11720R7410 | NISSAN &gt;&gt; 11720N9800 | NISSAN &gt;&gt; 11720D3310 | NISSAN &gt;&gt; 11720D3301 | NISSAN &gt;&gt; 11720D3300 | NISSAN &gt;&gt; 11720D2005KE | NISSAN &gt;&gt; 11720D2005JP | NISSAN &gt;&gt; 11720D20051P | NISSAN &gt;&gt; 11720D2005 | NISSAN &gt;&gt; 11720D2000 | NISSAN &gt;&gt; 11720D0101 | NISSAN &gt;&gt; 1172069000 | OPEL &gt;&gt; 1854712 | OPEL &gt;&gt; 950358 | OPEL &gt;&gt; 950356 | OPEL &gt;&gt; 950355 | OPEL &gt;&gt; 950354 | OPEL &gt;&gt; 950353 | OPEL &gt;&gt; 950350 | OPEL &gt;&gt; 91142246 | OPEL &gt;&gt; 90183426 | OPEL &gt;&gt; 90169081 | OPEL &gt;&gt; 90088832 | OPEL &gt;&gt; 90006259 | OPEL &gt;&gt; 3009003 | OPEL &gt;&gt; 950360 | PEUGEOT &gt;&gt; 575026 | PORSCHE &gt;&gt; 99919213550 | ROVER &gt;&gt; GFB273 | ROVER &gt;&gt; GFB10875 | ROVER &gt;&gt; AAU8072 | SAAB &gt;&gt; 8339939 | SEAT &gt;&gt; 0019974592 | SEAT &gt;&gt; 3938737 | SEAT &gt;&gt; 3938725 | TOYOTA &gt;&gt; 9952110873 | TOYOTA &gt;&gt; 9952110880 | TOYOTA &gt;&gt; 9933100880 | TOYOTA &gt;&gt; 9933110880 | TOYOTA &gt;&gt; 9952100870 | TOYOTA &gt;&gt; 9933110870 | TOYOTA &gt;&gt; 9932100870 | TOYOTA &gt;&gt; 9933100870 | TRIUMPH &gt;&gt; GFB273 | TRIUMPH &gt;&gt; GFB10875 | TRIUMPH &gt;&gt; AAU8072 | VAUXHALL &gt;&gt; 950356 | VAUXHALL &gt;&gt; 91142246 | VAUXHALL &gt;&gt; 90169081 | VAUXHALL &gt;&gt; 90088832 | VAUXHALL &gt;&gt; 90006259 | VAUXHALL &gt;&gt; 3009003 | VAUXHALL &gt;&gt; 950358 | VAUXHALL &gt;&gt; 1854712 | VOLVO &gt;&gt; 950355 | VOLVO &gt;&gt; 950353 | VOLVO &gt;&gt; 950350 | VOLVO &gt;&gt; 430174 | VOLVO &gt;&gt; 973547 | VOLVO &gt;&gt; 966904 | VOLVO &gt;&gt; 958305 | VOLVO &gt;&gt; 950360 | VW &gt;&gt; 068903137M | VW &gt;&gt; 068903137L | VW &gt;&gt; 068903137B | VW &gt;&gt; J9933110870 | VW &gt;&gt; 068903137A | VW &gt;&gt; 059903137B | VW &gt;&gt; 059903137 | HYUNDAI &gt;&gt; 2521121000 | JOHN DEERE &gt;&gt; M800313 | LUCAS ELECTRICAL &gt;&gt; KDB875 | BOSCH &gt;&gt; 9134161175 | BOSCH &gt;&gt; 9104161175 | BOSCH &gt;&gt; 9104161174 | BOSCH &gt;&gt; 1987947626 | BOSCH &gt;&gt; 1987947307 | CONTITECH &gt;&gt; V8620 | CONTITECH &gt;&gt; 6587043 | CONTITECH &gt;&gt; V535 | CONTITECH &gt;&gt; V1246 | CONTITECH &gt;&gt; 6578013 | CONTITECH &gt;&gt; AVX10X870 | CONTITECH &gt;&gt; AVX10X875 | CONTITECH &gt;&gt; AV10875 | CONTITECH &gt;&gt; 10X870 | DAYCO &gt;&gt; 10A0875C | DAYCO &gt;&gt; 10345 | DAYCO &gt;&gt; 833 | DAYCO &gt;&gt; 831SD | DAYCO &gt;&gt; VS875 | DAYCO &gt;&gt; 6704D | DAYCO &gt;&gt; 6704 | DAYCO &gt;&gt; 6008 | DAYCO &gt;&gt; 2228 | DAYCO &gt;&gt; 2144 | DAYCO &gt;&gt; 2054 | DAYCO &gt;&gt; 2029 | DAYCO &gt;&gt; 10A0880C | DAYCO &gt;&gt; 10A0875HD | DAYCO &gt;&gt; 10A0875GL | SKF &gt;&gt; VKMV10AVX875 | HERTH+BUSS JAKOPARTS &gt;&gt; J1010875 | QUINTON HAZELL &gt;&gt; QBA875 | FERODO &gt;&gt; VS875 | OPTIBELT &gt;&gt; 11A875 | OPTIBELT &gt;&gt; 1175DA | OPTIBELT &gt;&gt; 1175 | OPTIBELT &gt;&gt; AVX10X875 | OPTIBELT &gt;&gt; 95X875 | MINTEX &gt;&gt; WFT342 | MINTEX &gt;&gt; PWFT875 | ROULUNDS RUBBER &gt;&gt; 1A0875 | ROULUNDS RUBBER &gt;&gt; 1870 | SNR &gt;&gt; AVX10X875 | VEYANCE &gt;&gt; 10AV0875 | VEYANCE &gt;&gt; 950875 | HUTCHINSON &gt;&gt; 5503 | HUTCHINSON &gt;&gt; 5372 | HUTCHINSON &gt;&gt; AV10860LA870 | HUTCHINSON &gt;&gt; AV10860CR | KLEBER &gt;&gt; 1065 | KLEBER &gt;&gt; AV10865 | KLEBER &gt;&gt; AV10860 | KLEBER &gt;&gt; 1153 | KLEBER &gt;&gt; 1108 | KLEBER &gt;&gt; 10X875 | UNIPART &gt;&gt; GCB10875 | HAVAM &gt;&gt; VS1105 | HAVAM &gt;&gt; VG10875 | ACDelco &gt;&gt; AB31012 | FLENNOR &gt;&gt; A5204 | FLENNOR &gt;&gt; A5104 | BANDO &gt;&gt; 2345 | MITSUBOSHI &gt;&gt; MF1345 | NIPPARTS &gt;&gt; J1100875 | BLUE PRINT &gt;&gt; ADT39603 | DT &gt;&gt; 480525</t>
  </si>
  <si>
    <t>AUDI &gt;&gt; 049260849A | BMW &gt;&gt; 11232242209 | BMW &gt;&gt; 64521258239 | BMW &gt;&gt; 64521268683 | BMW &gt;&gt; 64521276096 | BMW &gt;&gt; 64551716960 | BMW &gt;&gt; 64551722990 | FIAT &gt;&gt; 7589248 | FIAT &gt;&gt; 4834880 | FORD &gt;&gt; 3950922 | FORD &gt;&gt; XM343F572AA | HONDA &gt;&gt; 38920PE1711 | HONDA &gt;&gt; 38920PE1701 | ISUZU &gt;&gt; 8944273530 | LANCIA &gt;&gt; 7589248 | LANCIA &gt;&gt; 4834880 | MAZDA &gt;&gt; F87418381 | MAZDA &gt;&gt; FE1H15907 | MERCEDES-BENZ &gt;&gt; A0069977592 | MERCEDES-BENZ &gt;&gt; A007753012558 | MERCEDES-BENZ &gt;&gt; 0059976292 | MERCEDES-BENZ &gt;&gt; A0059976292 | MERCEDES-BENZ &gt;&gt; A0069976892 | MERCEDES-BENZ &gt;&gt; A0029975392 | MERCEDES-BENZ &gt;&gt; A0029978692 | MERCEDES-BENZ &gt;&gt; 007753012558 | MERCEDES-BENZ &gt;&gt; 0029978692 | MERCEDES-BENZ &gt;&gt; 0069977592 | MERCEDES-BENZ &gt;&gt; 0029975392 | MERCEDES-BENZ &gt;&gt; 0069976892 | MITSUBISHI &gt;&gt; MB167062 | NISSAN &gt;&gt; 11750V5700 | NISSAN &gt;&gt; 11920V2100 | NISSAN &gt;&gt; 11920G2500 | NISSAN &gt;&gt; 0211784523 | NISSAN &gt;&gt; 1192080W10 | NISSAN &gt;&gt; 1192080W00 | NISSAN &gt;&gt; 0211782026 | NISSAN &gt;&gt; 1192030W00 | NISSAN &gt;&gt; 0211782023 | NISSAN &gt;&gt; 1192021M00 | NISSAN &gt;&gt; 1192004W00 | RENAULT &gt;&gt; 7700690029 | TOYOTA &gt;&gt; 9933210820 | TOYOTA &gt;&gt; 9933260835 | TOYOTA &gt;&gt; 9952210808 | TOYOTA &gt;&gt; 9933210835 | TOYOTA &gt;&gt; 9932200805 | TOYOTA &gt;&gt; 9933200825 | TOYOTA &gt;&gt; 9933200830 | TOYOTA &gt;&gt; 9932250835 | TOYOTA &gt;&gt; 9091602080 | TOYOTA &gt;&gt; 909160208001 | VW &gt;&gt; 068260149A | VW &gt;&gt; 049260849A | VW &gt;&gt; J9933200830 | HYUNDAI &gt;&gt; 2312724710 | HYUNDAI &gt;&gt; 9771324710 | HYUNDAI &gt;&gt; 2312724010 | DAEWOO &gt;&gt; 96486813 | DAEWOO &gt;&gt; 96182007 | DAEWOO &gt;&gt; P96486813 | FORD USA &gt;&gt; 3950922 | FORD USA &gt;&gt; XM343F572AA | FORD USA &gt;&gt; 4070304 | JEEP &gt;&gt; 53001772 | LUCAS ELECTRICAL &gt;&gt; KEB825 | BOSCH &gt;&gt; 9164162165 | BOSCH &gt;&gt; 9114162165 | BOSCH &gt;&gt; 9104162165 | BOSCH &gt;&gt; 1987947741 | BOSCH &gt;&gt; 1987947650 | BOSCH &gt;&gt; 1987947402 | CONTITECH &gt;&gt; V669 | CONTITECH &gt;&gt; 6588640 | CONTITECH &gt;&gt; 6588641 | CONTITECH &gt;&gt; 6588173 | CONTITECH &gt;&gt; 6587451 | CONTITECH &gt;&gt; 6587442 | CONTITECH &gt;&gt; 6578730 | CONTITECH &gt;&gt; 6578169 | CONTITECH &gt;&gt; 6578729 | CONTITECH &gt;&gt; 6578168 | CONTITECH &gt;&gt; AVX13X840 | CONTITECH &gt;&gt; AVX13X835 | CONTITECH &gt;&gt; AVX13X830 | CONTITECH &gt;&gt; AVX13X825 | CONTITECH &gt;&gt; AVX13X818 | CONTITECH &gt;&gt; AVX13X810 | CONTITECH &gt;&gt; AV13835 | CONTITECH &gt;&gt; AV13830 | CONTITECH &gt;&gt; AV13818 | CONTITECH &gt;&gt; AV13825 | DAYCO &gt;&gt; 13A0820C | DAYCO &gt;&gt; 13A0815C | DAYCO &gt;&gt; 13A0813GL | DAYCO &gt;&gt; 13A0813C | DAYCO &gt;&gt; 2611 | DAYCO &gt;&gt; 2465 | DAYCO &gt;&gt; 794SD | DAYCO &gt;&gt; 7860 | DAYCO &gt;&gt; 769 | DAYCO &gt;&gt; 768SD | DAYCO &gt;&gt; 763 | DAYCO &gt;&gt; 17325 | DAYCO &gt;&gt; 755SD | DAYCO &gt;&gt; 17323 | DAYCO &gt;&gt; 7204D | DAYCO &gt;&gt; 7204 | DAYCO &gt;&gt; 17320 | DAYCO &gt;&gt; 6792D | DAYCO &gt;&gt; 6792 | DAYCO &gt;&gt; 6760D | DAYCO &gt;&gt; 6760 | DAYCO &gt;&gt; 13A0835HD | DAYCO &gt;&gt; 13A0835C | DAYCO &gt;&gt; 13A0825GL | DAYCO &gt;&gt; 13A0825C | SKF &gt;&gt; VKMV13AVX830 | SKF &gt;&gt; VKMV13AVX825 | HERTH+BUSS JAKOPARTS &gt;&gt; J1130825 | HERTH+BUSS JAKOPARTS &gt;&gt; J1130813 | QUINTON HAZELL &gt;&gt; QBB825 | QUINTON HAZELL &gt;&gt; QBB813 | FERODO &gt;&gt; VT812 | FERODO &gt;&gt; V1032N | FERODO &gt;&gt; FT812 | FERODO &gt;&gt; 4733463 | OPTIBELT &gt;&gt; 2165DA | OPTIBELT &gt;&gt; 2165 | OPTIBELT &gt;&gt; 125X825 | OPTIBELT &gt;&gt; AVX13X835 | OPTIBELT &gt;&gt; 13A815 | OPTIBELT &gt;&gt; AVX13X825TM | OPTIBELT &gt;&gt; AVX13X825 | OPTIBELT &gt;&gt; AVX13X823TM | OPTIBELT &gt;&gt; 13A810 | OPTIBELT &gt;&gt; AVX13X823 | OPTIBELT &gt;&gt; AVX13X818TM | OPTIBELT &gt;&gt; AVX13X818 | MINTEX &gt;&gt; WKT320 | MINTEX &gt;&gt; PWKT835 | ROULUNDS RUBBER &gt;&gt; 3A0818 | ROULUNDS RUBBER &gt;&gt; 1375 | ROULUNDS RUBBER &gt;&gt; 1510 | ROULUNDS RUBBER &gt;&gt; 3A0835 | ROULUNDS RUBBER &gt;&gt; 3A0830 | ROULUNDS RUBBER &gt;&gt; 3A0825 | ROULUNDS RUBBER &gt;&gt; 3A0820 | JAPANPARTS &gt;&gt; DT13X830LA | JAPANPARTS &gt;&gt; DT13X825LA | VEYANCE &gt;&gt; 1250825 | VEYANCE &gt;&gt; 1250813 | VEYANCE &gt;&gt; 1670H | VEYANCE &gt;&gt; 13AV0825 | VEYANCE &gt;&gt; 13AV0813 | HUTCHINSON &gt;&gt; 5337 | HUTCHINSON &gt;&gt; AV13LA840 | HUTCHINSON &gt;&gt; AV13LA815 | HUTCHINSON &gt;&gt; AV13825LA840 | HUTCHINSON &gt;&gt; AV13810LA825 | HUTCHINSON &gt;&gt; AV13810CR | HUTCHINSON &gt;&gt; AV13800LA815 | HUTCHINSON &gt;&gt; AV13800CR | KLEBER &gt;&gt; 1397 | KLEBER &gt;&gt; 1400 | KLEBER &gt;&gt; 13X825 | KLEBER &gt;&gt; 13X815 | KLEBER &gt;&gt; AV13810 | KLEBER &gt;&gt; AV13800 | UNIPART &gt;&gt; GCB20825 | UNIPART &gt;&gt; GCB20813 | HAVAM &gt;&gt; VS2082 | HAVAM &gt;&gt; VS2080 | HAVAM &gt;&gt; VS2076 | HAVAM &gt;&gt; VG30825 | HAVAM &gt;&gt; VG30813 | ACDelco &gt;&gt; AB31085 | FLENNOR &gt;&gt; A5352 | FLENNOR &gt;&gt; 01002 | BANDO &gt;&gt; 3317 | BANDO &gt;&gt; 3315 | MITSUBOSHI &gt;&gt; REC125X825 | MITSUBOSHI &gt;&gt; MF6325 | MITSUBOSHI &gt;&gt; MF6320 | MITSUBOSHI &gt;&gt; MF2325 | NIPPARTS &gt;&gt; J1130835 | NIPPARTS &gt;&gt; J1130825</t>
  </si>
  <si>
    <t>ALFA ROMEO &gt;&gt; 107037B | ALFA ROMEO &gt;&gt; 60517424 | ALFA ROMEO &gt;&gt; 107037 | ALFA ROMEO &gt;&gt; 119001020700 | ALFA ROMEO &gt;&gt; 108017 | AUDI &gt;&gt; 059903137 | AUDI &gt;&gt; 054903137D | AUDI &gt;&gt; 068903137B | AUDI &gt;&gt; 053121039A | AUSTIN &gt;&gt; GFB273 | AUSTIN &gt;&gt; GFB10875 | AUSTIN &gt;&gt; AAU8072 | BMW &gt;&gt; 9990155 | BMW &gt;&gt; 12311254121 | BMW &gt;&gt; 12318602025 | BMW &gt;&gt; 12311268675 | DAIHATSU &gt;&gt; 9004832024 | DAIHATSU &gt;&gt; 9932100870 | DAIHATSU &gt;&gt; 9932150870 | DAIHATSU &gt;&gt; 9933110870 | DAIHATSU &gt;&gt; 9952100870 | FIAT &gt;&gt; 107037 | FIAT &gt;&gt; 119001020700 | FIAT &gt;&gt; 7546910 | FIAT &gt;&gt; 60517424 | FIAT &gt;&gt; 9990155 | FIAT &gt;&gt; 108017 | FIAT &gt;&gt; 107037B | FORD &gt;&gt; 83HF6C301AA | FORD &gt;&gt; 84HF6C301BA | FORD &gt;&gt; 72HF8620BA | FORD &gt;&gt; 6146161 | FORD &gt;&gt; 6107712 | HONDA &gt;&gt; 56992PE0003 | HONDA &gt;&gt; 56992PE0004 | HONDA &gt;&gt; 31110679004 | HONDA &gt;&gt; 31110679014 | JAGUAR &gt;&gt; C36122 | MERCEDES-BENZ &gt;&gt; 0059978392 | MERCEDES-BENZ &gt;&gt; 0019974592 | MERCEDES-BENZ &gt;&gt; 0029978492 | MERCEDES-BENZ &gt;&gt; 95X875N275 | MERCEDES-BENZ &gt;&gt; 0009975992 | MG &gt;&gt; GFB273 | MG &gt;&gt; GFB10875 | MG &gt;&gt; AAU8072 | MORRIS &gt;&gt; GFB273 | MORRIS &gt;&gt; GFB10875 | MORRIS &gt;&gt; AAU8072 | NISSAN &gt;&gt; 11720W4405 | NISSAN &gt;&gt; 11720W4400 | NISSAN &gt;&gt; 11720V5510 | NISSAN &gt;&gt; 11720V5501 | NISSAN &gt;&gt; 11720V5500 | NISSAN &gt;&gt; 11720D3310 | NISSAN &gt;&gt; 11720R7410 | NISSAN &gt;&gt; 11720D3301 | NISSAN &gt;&gt; 11720D3300 | NISSAN &gt;&gt; 11720D2005 | NISSAN &gt;&gt; 11720D2000 | NISSAN &gt;&gt; 11720D0101 | NISSAN &gt;&gt; 1172069000 | OPEL &gt;&gt; 90183426 | OPEL &gt;&gt; 90169081 | OPEL &gt;&gt; 90088832 | OPEL &gt;&gt; 90006259 | OPEL &gt;&gt; 3009003 | OPEL &gt;&gt; 1854712 | OPEL &gt;&gt; 950360 | OPEL &gt;&gt; 950358 | OPEL &gt;&gt; 950356 | OPEL &gt;&gt; 950354 | OPEL &gt;&gt; 950355 | OPEL &gt;&gt; 950353 | OPEL &gt;&gt; 950350 | OPEL &gt;&gt; 91142246 | PEUGEOT &gt;&gt; 575026 | PORSCHE &gt;&gt; 99919213550 | ROVER &gt;&gt; GFB273 | ROVER &gt;&gt; GFB10875 | ROVER &gt;&gt; AAU8072 | SAAB &gt;&gt; 8339939 | SEAT &gt;&gt; 3938725 | SEAT &gt;&gt; 3938737 | SEAT &gt;&gt; 0019974592 | TOYOTA &gt;&gt; 9952110880 | TOYOTA &gt;&gt; 9952100870 | TOYOTA &gt;&gt; 9952110873 | TOYOTA &gt;&gt; 9933110880 | TOYOTA &gt;&gt; 9933110870 | TOYOTA &gt;&gt; 9932150870 | TOYOTA &gt;&gt; 9933100870 | TOYOTA &gt;&gt; 9933100880 | TOYOTA &gt;&gt; 9932100870 | TRIUMPH &gt;&gt; GFB273 | TRIUMPH &gt;&gt; GFB10875 | TRIUMPH &gt;&gt; AAU8072 | VAUXHALL &gt;&gt; 90169081 | VAUXHALL &gt;&gt; 90088832 | VAUXHALL &gt;&gt; 90006259 | VAUXHALL &gt;&gt; 3009003 | VAUXHALL &gt;&gt; 1854712 | VAUXHALL &gt;&gt; 950358 | VAUXHALL &gt;&gt; 950356 | VAUXHALL &gt;&gt; 91142246 | VOLVO &gt;&gt; 430174 | VOLVO &gt;&gt; 966904 | VOLVO &gt;&gt; 973547 | VOLVO &gt;&gt; 958305 | VW &gt;&gt; 059903137 | VW &gt;&gt; 068903137M | VW &gt;&gt; J9933110870 | VW &gt;&gt; 068903137L | VW &gt;&gt; 068903137B | VW &gt;&gt; 068903137A | VW &gt;&gt; 059903137B | HYUNDAI &gt;&gt; 2521121000 | VAG &gt;&gt; 059903137 | VAG &gt;&gt; 068903137M | VAG &gt;&gt; J9933110870 | VAG &gt;&gt; 068903137L | VAG &gt;&gt; 054903137D | VAG &gt;&gt; 068903137B | VAG &gt;&gt; 068903137A | VAG &gt;&gt; 053121039A | VAG &gt;&gt; 059903137B | GENERAL MOTORS &gt;&gt; 90183426 | GENERAL MOTORS &gt;&gt; 90169081 | GENERAL MOTORS &gt;&gt; 90088832 | GENERAL MOTORS &gt;&gt; 90006259 | GENERAL MOTORS &gt;&gt; 91142246 | CITROEN/PEUGEOT &gt;&gt; 575026 | LUCAS ELECTRICAL &gt;&gt; KDB875 | BOSCH &gt;&gt; 1987947626 | BOSCH &gt;&gt; 1987947307 | BOSCH &gt;&gt; 9134161175 | BOSCH &gt;&gt; 9104161175 | BOSCH &gt;&gt; 9104161174 | CONTITECH &gt;&gt; 6587043 | CONTITECH &gt;&gt; 6578013 | CONTITECH &gt;&gt; V8620 | CONTITECH &gt;&gt; V535 | CONTITECH &gt;&gt; V1246 | CONTITECH &gt;&gt; AVX10X870 | CONTITECH &gt;&gt; AVX10X875 | CONTITECH &gt;&gt; AV10875 | CONTITECH &gt;&gt; 10X870 | GATES &gt;&gt; 6215MC | DAYCO &gt;&gt; 10345 | DAYCO &gt;&gt; 833 | DAYCO &gt;&gt; 831SD | DAYCO &gt;&gt; 6704D | DAYCO &gt;&gt; 6704 | DAYCO &gt;&gt; VS875 | DAYCO &gt;&gt; 6008 | DAYCO &gt;&gt; 2228 | DAYCO &gt;&gt; 2144 | DAYCO &gt;&gt; 2054 | DAYCO &gt;&gt; 2029 | DAYCO &gt;&gt; 10A0880C | DAYCO &gt;&gt; 10A0875HD | DAYCO &gt;&gt; 10A0875GL | DAYCO &gt;&gt; 10A0875C | SKF &gt;&gt; VKMV10AVX875 | QUINTON HAZELL &gt;&gt; QBA875 | FERODO &gt;&gt; VS875 | OPTIBELT &gt;&gt; 11A875 | OPTIBELT &gt;&gt; 1175DA | OPTIBELT &gt;&gt; 1175 | OPTIBELT &gt;&gt; AVX10X875 | OPTIBELT &gt;&gt; 95X875 | MINTEX &gt;&gt; WFT342 | MINTEX &gt;&gt; PWFT875 | ROULUNDS RUBBER &gt;&gt; 1A0875 | ROULUNDS RUBBER &gt;&gt; 1870 | TRISCAN &gt;&gt; 8610X875 | TRISCAN &gt;&gt; 056215MC | TRISCAN &gt;&gt; GA6215MC | TRISCAN &gt;&gt; 10X0875 | TRISCAN &gt;&gt; 160950875 | TRISCAN &gt;&gt; 14016215MC | SNR &gt;&gt; AVX10X875 | VEYANCE &gt;&gt; 10AV0875 | VEYANCE &gt;&gt; 950875 | HUTCHINSON &gt;&gt; 5503 | HUTCHINSON &gt;&gt; 5372 | HUTCHINSON &gt;&gt; AV10860CR | HUTCHINSON &gt;&gt; AV10860LA870 | KLEBER &gt;&gt; 1065 | KLEBER &gt;&gt; 1153 | KLEBER &gt;&gt; AV10865 | KLEBER &gt;&gt; 1108 | KLEBER &gt;&gt; AV10860 | KLEBER &gt;&gt; 10X875 | UNIPART &gt;&gt; GCB10875 | HAVAM &gt;&gt; VS1105 | HAVAM &gt;&gt; VG10875 | ACDelco &gt;&gt; AB31012 | FLENNOR &gt;&gt; A5204 | FLENNOR &gt;&gt; A5104 | TOPRAN &gt;&gt; 101503 | DT &gt;&gt; 480525</t>
  </si>
  <si>
    <t>AUDI &gt;&gt; 049260849A | BMW &gt;&gt; 64551722990 | BMW &gt;&gt; 11232242209 | BMW &gt;&gt; 64521258239 | BMW &gt;&gt; 64521276096 | BMW &gt;&gt; 64551716960 | BMW &gt;&gt; 64521268683 | CHRYSLER &gt;&gt; 53001772 | DAIHATSU &gt;&gt; 9932200805 | DAIHATSU &gt;&gt; 9933260830 | FIAT &gt;&gt; 7589248 | FIAT &gt;&gt; 4834880 | FORD &gt;&gt; XM343F572AA | FORD &gt;&gt; 3950922 | HONDA &gt;&gt; 38920PE1701 | HONDA &gt;&gt; 38920PE1711 | ISUZU &gt;&gt; 8944273530 | LANCIA &gt;&gt; 7589248 | LANCIA &gt;&gt; 4834880 | MAZDA &gt;&gt; F87418381 | MAZDA &gt;&gt; FE1H15907 | MERCEDES-BENZ &gt;&gt; 0069976892 | MERCEDES-BENZ &gt;&gt; 0029978692 | MERCEDES-BENZ &gt;&gt; 0029975392 | MERCEDES-BENZ &gt;&gt; 0059976292 | MERCEDES-BENZ &gt;&gt; 007753012558 | MERCEDES-BENZ &gt;&gt; 0069977592 | MITSUBISHI &gt;&gt; MB167062 | NISSAN &gt;&gt; 11920V2100 | NISSAN &gt;&gt; 11920G2500 | NISSAN &gt;&gt; 0211784523 | NISSAN &gt;&gt; 1192080W10 | NISSAN &gt;&gt; 0211782026 | NISSAN &gt;&gt; 1192080W00 | NISSAN &gt;&gt; 1192030W00 | NISSAN &gt;&gt; 1192021M00 | NISSAN &gt;&gt; 0211782023 | NISSAN &gt;&gt; 1192004W00 | NISSAN &gt;&gt; 11750V5700 | RENAULT &gt;&gt; 7700690029 | TOYOTA &gt;&gt; 9091602080 | TOYOTA &gt;&gt; 9952210808 | TOYOTA &gt;&gt; 9933210835 | TOYOTA &gt;&gt; 9933260835 | TOYOTA &gt;&gt; 9933250835 | TOYOTA &gt;&gt; 9932250835 | TOYOTA &gt;&gt; 9933200830 | TOYOTA &gt;&gt; 9933210820 | TOYOTA &gt;&gt; 9933200825 | TOYOTA &gt;&gt; 9932200805 | VW &gt;&gt; J9933200830 | VW &gt;&gt; 068260149A | VW &gt;&gt; 049260849A | HYUNDAI &gt;&gt; 2312724710 | HYUNDAI &gt;&gt; 2312724010 | HYUNDAI &gt;&gt; 9771324710 | DAEWOO &gt;&gt; 96182007 | VAG &gt;&gt; J9933200830 | VAG &gt;&gt; 068260149A | VAG &gt;&gt; 049260849A | GENERAL MOTORS &gt;&gt; 96182007 | FORD USA &gt;&gt; XM343F572AA | FORD USA &gt;&gt; 4070304 | FORD USA &gt;&gt; 3950922 | JEEP &gt;&gt; 53001772 | LUCAS ELECTRICAL &gt;&gt; KEB825 | BOSCH &gt;&gt; 1987947650 | BOSCH &gt;&gt; 1987947402 | BOSCH &gt;&gt; 9164162165 | BOSCH &gt;&gt; 1987947741 | BOSCH &gt;&gt; 9114162165 | BOSCH &gt;&gt; 9104162165 | CONTITECH &gt;&gt; 6588640 | CONTITECH &gt;&gt; 6588641 | CONTITECH &gt;&gt; 6587451 | CONTITECH &gt;&gt; 6588173 | CONTITECH &gt;&gt; 6578730 | CONTITECH &gt;&gt; 6587442 | CONTITECH &gt;&gt; 6578729 | CONTITECH &gt;&gt; 6578169 | CONTITECH &gt;&gt; 6578168 | CONTITECH &gt;&gt; V669 | CONTITECH &gt;&gt; AVX13X840 | CONTITECH &gt;&gt; AVX13X830 | CONTITECH &gt;&gt; AVX13X835 | CONTITECH &gt;&gt; AVX13X825 | CONTITECH &gt;&gt; AVX13X810 | CONTITECH &gt;&gt; AVX13X818 | CONTITECH &gt;&gt; AV13830 | CONTITECH &gt;&gt; AV13835 | CONTITECH &gt;&gt; AV13818 | CONTITECH &gt;&gt; AV13825 | GATES &gt;&gt; 6463MC | DAYCO &gt;&gt; 794SD | DAYCO &gt;&gt; 7860 | DAYCO &gt;&gt; 17325 | DAYCO &gt;&gt; 17323 | DAYCO &gt;&gt; 769 | DAYCO &gt;&gt; 768SD | DAYCO &gt;&gt; 763 | DAYCO &gt;&gt; 17320 | DAYCO &gt;&gt; 755SD | DAYCO &gt;&gt; 7204 | DAYCO &gt;&gt; 7204D | DAYCO &gt;&gt; 6792 | DAYCO &gt;&gt; 6792D | DAYCO &gt;&gt; 6760 | DAYCO &gt;&gt; 6760D | DAYCO &gt;&gt; 13A0835HD | DAYCO &gt;&gt; 13A0835C | DAYCO &gt;&gt; 13A0825HD | DAYCO &gt;&gt; 13A0825GL | DAYCO &gt;&gt; 13A0825C | DAYCO &gt;&gt; 13A0820C | DAYCO &gt;&gt; 13A0815C | DAYCO &gt;&gt; 13A0813GL | DAYCO &gt;&gt; 13A0813C | DAYCO &gt;&gt; 2611 | DAYCO &gt;&gt; 2465 | SKF &gt;&gt; VKMV13AVX830 | SKF &gt;&gt; VKMV13AVX825 | QUINTON HAZELL &gt;&gt; QBB813 | QUINTON HAZELL &gt;&gt; QBB825 | FERODO &gt;&gt; VT812 | FERODO &gt;&gt; V1032N | FERODO &gt;&gt; FT812 | FERODO &gt;&gt; 4733463 | OPTIBELT &gt;&gt; 13A815 | OPTIBELT &gt;&gt; 13A810 | OPTIBELT &gt;&gt; AVX13X835 | OPTIBELT &gt;&gt; AVX13X825TM | OPTIBELT &gt;&gt; AVX13X825 | OPTIBELT &gt;&gt; AVX13X823TM | OPTIBELT &gt;&gt; AVX13X823 | OPTIBELT &gt;&gt; AVX13X818TM | OPTIBELT &gt;&gt; AVX13X818 | OPTIBELT &gt;&gt; 125X825 | OPTIBELT &gt;&gt; 2165DA | OPTIBELT &gt;&gt; 2165 | MINTEX &gt;&gt; WKT320 | MINTEX &gt;&gt; PWKT835 | ROULUNDS RUBBER &gt;&gt; 1510 | ROULUNDS RUBBER &gt;&gt; 3A0835 | ROULUNDS RUBBER &gt;&gt; 3A0830 | ROULUNDS RUBBER &gt;&gt; 3A0825 | ROULUNDS RUBBER &gt;&gt; 3A0820 | ROULUNDS RUBBER &gt;&gt; 3A0818 | ROULUNDS RUBBER &gt;&gt; 1375 | TRISCAN &gt;&gt; 8613X823 | TRISCAN &gt;&gt; 161250825 | TRISCAN &gt;&gt; 14016463MC | TRISCAN &gt;&gt; 13X0825 | TRISCAN &gt;&gt; MZ6463 | TRISCAN &gt;&gt; GA6463MC | TRISCAN &gt;&gt; 056463MC | JAPANPARTS &gt;&gt; DT13X825LA | JAPANPARTS &gt;&gt; DT13X830LA | VEYANCE &gt;&gt; 1250813 | VEYANCE &gt;&gt; 1670H | VEYANCE &gt;&gt; 13AV0825 | VEYANCE &gt;&gt; 13AV0813 | VEYANCE &gt;&gt; 1250825 | HUTCHINSON &gt;&gt; 5337 | HUTCHINSON &gt;&gt; AV13LA840 | HUTCHINSON &gt;&gt; AV13LA815 | HUTCHINSON &gt;&gt; AV13825LA840 | HUTCHINSON &gt;&gt; AV13810LA825 | HUTCHINSON &gt;&gt; AV13810CR | HUTCHINSON &gt;&gt; AV13800LA815 | HUTCHINSON &gt;&gt; AV13800CR | KLEBER &gt;&gt; 1400 | KLEBER &gt;&gt; 13X825 | KLEBER &gt;&gt; 13X815 | KLEBER &gt;&gt; AV13810 | KLEBER &gt;&gt; AV13800 | KLEBER &gt;&gt; 1397 | UNIPART &gt;&gt; GCB20825 | UNIPART &gt;&gt; GCB20813 | HAVAM &gt;&gt; VS2082 | HAVAM &gt;&gt; VS2080 | HAVAM &gt;&gt; VS2076 | HAVAM &gt;&gt; VG30825 | HAVAM &gt;&gt; VG30813 | ACDelco &gt;&gt; AB31085 | FLENNOR &gt;&gt; 01002 | FLENNOR &gt;&gt; A5352</t>
  </si>
  <si>
    <t>AUDI &gt;&gt; 049260849A | BMW &gt;&gt; 11232242209 | BMW &gt;&gt; 64521258239 | BMW &gt;&gt; 64521276096 | BMW &gt;&gt; 64551722990 | BMW &gt;&gt; 64551716960 | BMW &gt;&gt; 64521268683 | FIAT &gt;&gt; 4834880 | FIAT &gt;&gt; 7589248 | FORD &gt;&gt; D5NN10C318A | FORD &gt;&gt; 3902990 | FORD &gt;&gt; 3950922 | FORD &gt;&gt; XM343F572AA | HONDA &gt;&gt; 38920PE1701 | HONDA &gt;&gt; 38920PE1711 | ISUZU &gt;&gt; 8944273530 | LANCIA &gt;&gt; 4834880 | LANCIA &gt;&gt; 7589248 | MAN &gt;&gt; 06580732143 | MAN &gt;&gt; 06580732142 | MAZDA &gt;&gt; FE1H15907 | MAZDA &gt;&gt; F87418381 | MERCEDES-BENZ &gt;&gt; 0059976292 | MERCEDES-BENZ &gt;&gt; 0029978692 | MERCEDES-BENZ &gt;&gt; 0029975392 | MERCEDES-BENZ &gt;&gt; 007753012558 | MERCEDES-BENZ &gt;&gt; 0069976892 | MERCEDES-BENZ &gt;&gt; 0069973692 | MITSUBISHI &gt;&gt; MB167062 | NISSAN &gt;&gt; 0211784523 | NISSAN &gt;&gt; 11920V2100 | NISSAN &gt;&gt; 11920G2500 | NISSAN &gt;&gt; 1192080W10 | NISSAN &gt;&gt; 0211782026 | NISSAN &gt;&gt; 1192080W00 | NISSAN &gt;&gt; 1192030W00 | NISSAN &gt;&gt; 0211782023 | NISSAN &gt;&gt; 1192021M00 | NISSAN &gt;&gt; 1192004W00 | NISSAN &gt;&gt; 11750V5700 | RENAULT &gt;&gt; 5000552494 | RENAULT &gt;&gt; 7700690029 | TOYOTA &gt;&gt; 9952210808 | TOYOTA &gt;&gt; 9933260835 | TOYOTA &gt;&gt; 9933210835 | TOYOTA &gt;&gt; 9933200830 | TOYOTA &gt;&gt; 9933210820 | TOYOTA &gt;&gt; 9932250835 | TOYOTA &gt;&gt; 9933200825 | TOYOTA &gt;&gt; 9932200805 | TOYOTA &gt;&gt; 9091602080 | VW &gt;&gt; J9933200830 | VW &gt;&gt; 049260849A | VW &gt;&gt; 068260149A | HYUNDAI &gt;&gt; 2312724710 | HYUNDAI &gt;&gt; 9771324710 | HYUNDAI &gt;&gt; 2312724010 | DAEWOO &gt;&gt; 96182007 | JEEP &gt;&gt; 53001772 | LUCAS ELECTRICAL &gt;&gt; KEB825 | BOSCH &gt;&gt; 9164162165 | BOSCH &gt;&gt; 9104162165 | BOSCH &gt;&gt; 9114162165 | BOSCH &gt;&gt; 1987947741 | BOSCH &gt;&gt; 1987947650 | CONTITECH &gt;&gt; AV13825 | CONTITECH &gt;&gt; AV13835 | CONTITECH &gt;&gt; AVX13X825 | CONTITECH &gt;&gt; AV13830 | CONTITECH &gt;&gt; AV13818 | CONTITECH &gt;&gt; 6588641 | CONTITECH &gt;&gt; 6588173 | CONTITECH &gt;&gt; 6588640 | CONTITECH &gt;&gt; 6587442 | CONTITECH &gt;&gt; 6587451 | CONTITECH &gt;&gt; 6578729 | CONTITECH &gt;&gt; 6578730 | CONTITECH &gt;&gt; 6578168 | CONTITECH &gt;&gt; 6578169 | CONTITECH &gt;&gt; V669 | GATES &gt;&gt; 6463EXL | DAYCO &gt;&gt; 2611 | DAYCO &gt;&gt; 2465 | DAYCO &gt;&gt; 794SD | DAYCO &gt;&gt; 7860 | DAYCO &gt;&gt; 769 | DAYCO &gt;&gt; 17325 | DAYCO &gt;&gt; 768SD | DAYCO &gt;&gt; 763 | DAYCO &gt;&gt; 17323 | DAYCO &gt;&gt; 17320 | DAYCO &gt;&gt; 755SD | DAYCO &gt;&gt; 7204D | DAYCO &gt;&gt; 6792D | DAYCO &gt;&gt; 7204 | DAYCO &gt;&gt; 6760D | DAYCO &gt;&gt; 6792 | DAYCO &gt;&gt; 6760 | DAYCO &gt;&gt; 13A0835C | DAYCO &gt;&gt; 13A0825C | DAYCO &gt;&gt; 13A0820C | DAYCO &gt;&gt; 13A0813C | QUINTON HAZELL &gt;&gt; QBB813 | QUINTON HAZELL &gt;&gt; QBB825 | FERODO &gt;&gt; FT812 | FERODO &gt;&gt; 4733463 | FERODO &gt;&gt; VT812 | FERODO &gt;&gt; V1032N | OPTIBELT &gt;&gt; 2165DA | OPTIBELT &gt;&gt; 2165 | MINTEX &gt;&gt; WKT320 | MINTEX &gt;&gt; PWKT835 | ROULUNDS RUBBER &gt;&gt; 1375 | ROULUNDS RUBBER &gt;&gt; 3A0825 | ROULUNDS RUBBER &gt;&gt; 3A0820 | ROULUNDS RUBBER &gt;&gt; 1510 | VEYANCE &gt;&gt; 1250825 | VEYANCE &gt;&gt; 1250813 | VEYANCE &gt;&gt; 1670H | VEYANCE &gt;&gt; 13AV0825 | VEYANCE &gt;&gt; 13AV0813 | HUTCHINSON &gt;&gt; AV13810CR | HUTCHINSON &gt;&gt; AV13800CR | HUTCHINSON &gt;&gt; 5337 | KLEBER &gt;&gt; 1397 | KLEBER &gt;&gt; AV13810 | KLEBER &gt;&gt; AV13800 | KLEBER &gt;&gt; 1400 | KLEBER &gt;&gt; 13X825 | KLEBER &gt;&gt; 13X815 | UNIPART &gt;&gt; GCB20825 | UNIPART &gt;&gt; GCB20813 | HAVAM &gt;&gt; VS2082 | HAVAM &gt;&gt; VS2080 | HAVAM &gt;&gt; VS2076 | HAVAM &gt;&gt; VG30825 | HAVAM &gt;&gt; VG30813</t>
  </si>
  <si>
    <t>Width, mm &gt;&gt; 10 | Length, mm &gt;&gt; 875</t>
  </si>
  <si>
    <t>ALFA ROMEO &gt;&gt; 60517424 | ALFA ROMEO &gt;&gt; 107037 | ALFA ROMEO &gt;&gt; 119001020700 | ALFA ROMEO &gt;&gt; 108017 | ALFA ROMEO &gt;&gt; 107037B | AUSTIN &gt;&gt; AAU8072 | AUSTIN &gt;&gt; GFB10875 | AUSTIN &gt;&gt; GFB273 | BMW &gt;&gt; 9990155 | BMW &gt;&gt; 12311268675 | BMW &gt;&gt; 12318602025 | BMW &gt;&gt; 12311254121 | DAIHATSU &gt;&gt; 9932100870 | DAIHATSU &gt;&gt; 9004832024 | FIAT &gt;&gt; 7546910 | FORD &gt;&gt; 83HF6C301AA | FORD &gt;&gt; 84HF6C301BA | FORD &gt;&gt; 72HF8620BA | FORD &gt;&gt; 6107712 | FORD &gt;&gt; 6146161 | HONDA &gt;&gt; 56992PE0003 | HONDA &gt;&gt; 56992PE0004 | HONDA &gt;&gt; 31110679004 | HONDA &gt;&gt; 31110679014 | JAGUAR &gt;&gt; C36122 | MERCEDES-BENZ &gt;&gt; 0029978492 | MERCEDES-BENZ &gt;&gt; 0059978392 | MERCEDES-BENZ &gt;&gt; 0009975992 | MERCEDES-BENZ &gt;&gt; 0019974592 | MG &gt;&gt; GFB273 | MG &gt;&gt; GFB10875 | MG &gt;&gt; AAU8072 | NISSAN &gt;&gt; 11720W4405 | NISSAN &gt;&gt; 11720V5510 | NISSAN &gt;&gt; 11720V5501 | NISSAN &gt;&gt; 11720V5500 | NISSAN &gt;&gt; 11720R7410 | NISSAN &gt;&gt; 11720D3301 | NISSAN &gt;&gt; 11720D3310 | NISSAN &gt;&gt; 11720D3300 | NISSAN &gt;&gt; 11720D2005 | NISSAN &gt;&gt; 11720D2000 | NISSAN &gt;&gt; 11720D0101 | OPEL &gt;&gt; 0950354 | OPEL &gt;&gt; 0950353 | OPEL &gt;&gt; 950360 | OPEL &gt;&gt; 1854712 | OPEL &gt;&gt; 950358 | OPEL &gt;&gt; 950355 | OPEL &gt;&gt; 950356 | OPEL &gt;&gt; 950354 | OPEL &gt;&gt; 950353 | OPEL &gt;&gt; 0950350 | OPEL &gt;&gt; 950350 | OPEL &gt;&gt; 0950360 | OPEL &gt;&gt; 0950358 | OPEL &gt;&gt; 0950356 | OPEL &gt;&gt; 3009003 | OPEL &gt;&gt; 0950355 | PEUGEOT &gt;&gt; 575026 | PORSCHE &gt;&gt; 99919213550 | ROVER &gt;&gt; GFB273 | ROVER &gt;&gt; GFB10875 | ROVER &gt;&gt; AAU8072 | SAAB &gt;&gt; 8339939 | TOYOTA &gt;&gt; 9952110880 | TOYOTA &gt;&gt; 9933110870 | TOYOTA &gt;&gt; 9952100870 | TOYOTA &gt;&gt; 9952110873 | TOYOTA &gt;&gt; 9933110880 | TOYOTA &gt;&gt; 9933100870 | TOYOTA &gt;&gt; 9933100880 | TOYOTA &gt;&gt; 9932100870 | TRIUMPH &gt;&gt; GFB273 | TRIUMPH &gt;&gt; GFB10875 | TRIUMPH &gt;&gt; AAU8072 | VAUXHALL &gt;&gt; 950358 | VAUXHALL &gt;&gt; 1854712 | VAUXHALL &gt;&gt; 950356 | VAUXHALL &gt;&gt; 91142246 | VAUXHALL &gt;&gt; 90169081 | VAUXHALL &gt;&gt; 90088832 | VAUXHALL &gt;&gt; 90006259 | VAUXHALL &gt;&gt; 0950358 | VAUXHALL &gt;&gt; 0950356 | VAUXHALL &gt;&gt; 3009003 | HYUNDAI &gt;&gt; 2521121000 | VAG &gt;&gt; 059903137 | VAG &gt;&gt; 068913137L | VAG &gt;&gt; 054903137D | VAG &gt;&gt; 068903137M | VAG &gt;&gt; 053121039A | VAG &gt;&gt; 068903137B | VAG &gt;&gt; 068903137A | VAG &gt;&gt; 059903137B | GENERAL MOTORS &gt;&gt; 91142246 | GENERAL MOTORS &gt;&gt; 90183426 | GENERAL MOTORS &gt;&gt; 90169081 | GENERAL MOTORS &gt;&gt; 90088832 | GENERAL MOTORS &gt;&gt; 90006259 | LUCAS ELECTRICAL &gt;&gt; KDB875 | BOSCH &gt;&gt; 1987947626 | BOSCH &gt;&gt; 1987947307 | BOSCH &gt;&gt; 9134161175 | BOSCH &gt;&gt; 9104161174 | BOSCH &gt;&gt; 9104161175 | CONTITECH &gt;&gt; 6587043 | CONTITECH &gt;&gt; V8620 | CONTITECH &gt;&gt; V535 | CONTITECH &gt;&gt; 6578013 | CONTITECH &gt;&gt; V1246 | CONTITECH &gt;&gt; AVX10X870 | CONTITECH &gt;&gt; AVX10X875 | CONTITECH &gt;&gt; AV10875 | CONTITECH &gt;&gt; 10X870 | DAYCO &gt;&gt; 2228 | DAYCO &gt;&gt; 2144 | DAYCO &gt;&gt; 2054 | DAYCO &gt;&gt; 10A0880C | DAYCO &gt;&gt; 2029 | DAYCO &gt;&gt; 10A0875HD | DAYCO &gt;&gt; 10A0875GL | DAYCO &gt;&gt; 10A0875C | DAYCO &gt;&gt; 10345 | DAYCO &gt;&gt; 833 | DAYCO &gt;&gt; 831SD | DAYCO &gt;&gt; 6704D | DAYCO &gt;&gt; VS875 | DAYCO &gt;&gt; 6704 | DAYCO &gt;&gt; 6008 | SKF &gt;&gt; VKMV10AVX875 | HERTH+BUSS JAKOPARTS &gt;&gt; J1010890 | HERTH+BUSS JAKOPARTS &gt;&gt; J1010875 | HERTH+BUSS JAKOPARTS &gt;&gt; J1010670 | FERODO &gt;&gt; VS875 | OPTIBELT &gt;&gt; 95X875 | OPTIBELT &gt;&gt; 11A875 | OPTIBELT &gt;&gt; 1175DA | OPTIBELT &gt;&gt; 1175 | OPTIBELT &gt;&gt; AVX10X875 | MINTEX &gt;&gt; WFT342 | MINTEX &gt;&gt; PWFT875 | ROULUNDS RUBBER &gt;&gt; 1A0875 | ROULUNDS RUBBER &gt;&gt; 1870 | SNR &gt;&gt; AVX10X875 | VEYANCE &gt;&gt; 10AV0875 | VEYANCE &gt;&gt; 950875 | HUTCHINSON &gt;&gt; 5503 | HUTCHINSON &gt;&gt; 5372 | HUTCHINSON &gt;&gt; AV10860CR | HUTCHINSON &gt;&gt; AV10860LA870 | KLEBER &gt;&gt; 1065 | KLEBER &gt;&gt; 1153 | KLEBER &gt;&gt; AV10865 | KLEBER &gt;&gt; 1108 | KLEBER &gt;&gt; AV10860 | KLEBER &gt;&gt; 10X875 | UNIPART &gt;&gt; GCB10875 | HAVAM &gt;&gt; VS1105 | HAVAM &gt;&gt; VG10875 | ACDelco &gt;&gt; AB31012 | FLENNOR &gt;&gt; A5104 | FLENNOR &gt;&gt; A5204 | BANDO &gt;&gt; 2345 | MITSUBOSHI &gt;&gt; MF1345 | NIPPARTS &gt;&gt; J1100875 | JP GROUP &gt;&gt; 903098007ALT | BLUE PRINT &gt;&gt; ADT39603 | DT &gt;&gt; 480525</t>
  </si>
  <si>
    <t>ALFA ROMEO &gt;&gt; 107037 | ALFA ROMEO &gt;&gt; 60517424 | ALFA ROMEO &gt;&gt; 108017 | ALFA ROMEO &gt;&gt; 119001020700 | ALFA ROMEO &gt;&gt; 107037B | AUSTIN &gt;&gt; AAU8072 | AUSTIN &gt;&gt; GFB273 | AUSTIN &gt;&gt; GFB10875 | BMW &gt;&gt; 9990155 | BMW &gt;&gt; 12318602025 | BMW &gt;&gt; 12311254121 | BMW &gt;&gt; 12311268675 | DAIHATSU &gt;&gt; 9932100870 | DAIHATSU &gt;&gt; 9004832024 | FIAT &gt;&gt; 7546910 | FORD &gt;&gt; 83HF6C301AA | FORD &gt;&gt; 84HF6C301BA | FORD &gt;&gt; 72HF8620BA | FORD &gt;&gt; 6146161 | FORD &gt;&gt; 6107712 | HONDA &gt;&gt; 56992PE0003 | HONDA &gt;&gt; 56992PE0004 | HONDA &gt;&gt; 31110679004 | HONDA &gt;&gt; 31110679014 | JAGUAR &gt;&gt; C36122 | MERCEDES-BENZ &gt;&gt; 0029978492 | MERCEDES-BENZ &gt;&gt; 0019974592 | MERCEDES-BENZ &gt;&gt; 0009975992 | MERCEDES-BENZ &gt;&gt; 0059978392 | MG &gt;&gt; AAU8072 | MG &gt;&gt; GFB273 | MG &gt;&gt; GFB10875 | NISSAN &gt;&gt; 11720D0101 | NISSAN &gt;&gt; 11720W4405 | NISSAN &gt;&gt; 11720V5510 | NISSAN &gt;&gt; 11720V5501 | NISSAN &gt;&gt; 11720V5500 | NISSAN &gt;&gt; 11720R7410 | NISSAN &gt;&gt; 11720D3310 | NISSAN &gt;&gt; 11720D3301 | NISSAN &gt;&gt; 11720D3300 | NISSAN &gt;&gt; 11720D2005 | NISSAN &gt;&gt; 11720D2000 | OPEL &gt;&gt; 3009003 | OPEL &gt;&gt; 0950354 | OPEL &gt;&gt; 950358 | OPEL &gt;&gt; 950360 | OPEL &gt;&gt; 1854712 | OPEL &gt;&gt; 950354 | OPEL &gt;&gt; 950355 | OPEL &gt;&gt; 950356 | PEUGEOT &gt;&gt; 575026 | PORSCHE &gt;&gt; 99919213550 | ROVER &gt;&gt; 1118001609 | ROVER &gt;&gt; GFB273 | ROVER &gt;&gt; GFB10875 | SAAB &gt;&gt; 8339939 | TOYOTA &gt;&gt; 9952110873 | TOYOTA &gt;&gt; 9952110880 | TOYOTA &gt;&gt; 9933110880 | TOYOTA &gt;&gt; 9952100870 | TOYOTA &gt;&gt; 9933100880 | TOYOTA &gt;&gt; 9933110870 | TOYOTA &gt;&gt; 9932100870 | TOYOTA &gt;&gt; 9933100870 | TRIUMPH &gt;&gt; 1J0413031ABALT | TRIUMPH &gt;&gt; GFB273 | TRIUMPH &gt;&gt; GFB10875 | VAUXHALL &gt;&gt; 0950358 | VAUXHALL &gt;&gt; 3009003 | VAUXHALL &gt;&gt; 0950356 | VAUXHALL &gt;&gt; 950358 | VAUXHALL &gt;&gt; 950356 | VAUXHALL &gt;&gt; 1854712 | VAUXHALL &gt;&gt; 91142246 | VAUXHALL &gt;&gt; 90169081 | VAUXHALL &gt;&gt; 90088832 | VAUXHALL &gt;&gt; 90006259 | VOLVO &gt;&gt; 973547 | VOLVO &gt;&gt; 966904 | VOLVO &gt;&gt; 958305 | VOLVO &gt;&gt; 430174 | HYUNDAI &gt;&gt; 2521121000 | VAG &gt;&gt; 059903137 | VAG &gt;&gt; 054903137D | VAG &gt;&gt; 068903137M | VAG &gt;&gt; 068903137L | VAG &gt;&gt; 068903137B | VAG &gt;&gt; 053121039A | VAG &gt;&gt; 068903137A | VAG &gt;&gt; 059903137B | GENERAL MOTORS &gt;&gt; 91142246 | GENERAL MOTORS &gt;&gt; 90183426 | GENERAL MOTORS &gt;&gt; 90169081 | GENERAL MOTORS &gt;&gt; 90088832 | GENERAL MOTORS &gt;&gt; 90006259 | LUCAS ELECTRICAL &gt;&gt; KDB875 | BOSCH &gt;&gt; 1987947626 | BOSCH &gt;&gt; 1987947307 | BOSCH &gt;&gt; 9134161175 | BOSCH &gt;&gt; 9104161174 | BOSCH &gt;&gt; 9104161175 | CONTITECH &gt;&gt; 10X870 | CONTITECH &gt;&gt; V535 | CONTITECH &gt;&gt; V8620 | CONTITECH &gt;&gt; 6587043 | CONTITECH &gt;&gt; V1246 | CONTITECH &gt;&gt; 6578013 | CONTITECH &gt;&gt; AVX10X875 | CONTITECH &gt;&gt; AV10875 | CONTITECH &gt;&gt; AVX10X870 | DAYCO &gt;&gt; 2228 | DAYCO &gt;&gt; 2144 | DAYCO &gt;&gt; 2054 | DAYCO &gt;&gt; 2029 | DAYCO &gt;&gt; 10A0880C | DAYCO &gt;&gt; 10A0875HD | DAYCO &gt;&gt; 10A0875GL | DAYCO &gt;&gt; 10A0875C | DAYCO &gt;&gt; 833 | DAYCO &gt;&gt; 831SD | DAYCO &gt;&gt; VS875 | DAYCO &gt;&gt; 6704D | DAYCO &gt;&gt; 6704 | DAYCO &gt;&gt; 6008 | DAYCO &gt;&gt; 10345 | SKF &gt;&gt; VKMV10AVX875 | HERTH+BUSS JAKOPARTS &gt;&gt; J1010890 | HERTH+BUSS JAKOPARTS &gt;&gt; J1010875 | HERTH+BUSS JAKOPARTS &gt;&gt; J1010670 | FERODO &gt;&gt; VS875 | OPTIBELT &gt;&gt; 95X875 | OPTIBELT &gt;&gt; 11A875 | OPTIBELT &gt;&gt; 1175DA | OPTIBELT &gt;&gt; 1175 | OPTIBELT &gt;&gt; AVX10X875 | MINTEX &gt;&gt; WFT342 | MINTEX &gt;&gt; PWFT875 | ROULUNDS RUBBER &gt;&gt; 1A0875 | ROULUNDS RUBBER &gt;&gt; 1870 | SNR &gt;&gt; AVX10X875 | VEYANCE &gt;&gt; 950875 | VEYANCE &gt;&gt; 10AV0875 | HUTCHINSON &gt;&gt; 5503 | HUTCHINSON &gt;&gt; 5372 | HUTCHINSON &gt;&gt; AV10860LA870 | HUTCHINSON &gt;&gt; AV10860CR | KLEBER &gt;&gt; 1153 | KLEBER &gt;&gt; 1108 | KLEBER &gt;&gt; 10X875 | KLEBER &gt;&gt; 1065 | KLEBER &gt;&gt; AV10865 | KLEBER &gt;&gt; AV10860 | UNIPART &gt;&gt; GCB10875 | HAVAM &gt;&gt; VS1105 | HAVAM &gt;&gt; VG10875 | ACDelco &gt;&gt; AB31012 | FLENNOR &gt;&gt; A5204 | FLENNOR &gt;&gt; A5104 | BANDO &gt;&gt; 2345 | MITSUBOSHI &gt;&gt; MF1345 | NIPPARTS &gt;&gt; J1100875 | JP GROUP &gt;&gt; QBA875 | BLUE PRINT &gt;&gt; ADT39603 | DT &gt;&gt; 480525</t>
  </si>
  <si>
    <t>Length, mm &gt;&gt; 850 | Width, mm &gt;&gt; 13</t>
  </si>
  <si>
    <t>ALFA ROMEO &gt;&gt; 60534466 | ALFA ROMEO &gt;&gt; 117131010300 | ALFA ROMEO &gt;&gt; 7655543 | ALFA ROMEO &gt;&gt; 60805194 | ALFA ROMEO &gt;&gt; 7627908 | ALFA ROMEO &gt;&gt; 60806472 | ALFA ROMEO &gt;&gt; 60548734 | BMW &gt;&gt; 64551717954 | DAIHATSU &gt;&gt; 9932200860 | FIAT &gt;&gt; 7655543 | FIAT &gt;&gt; 7762982 | FIAT &gt;&gt; 7627908 | FIAT &gt;&gt; 7649219 | FIAT &gt;&gt; 7623460 | FIAT &gt;&gt; 7617278 | FORD &gt;&gt; A86AX6C301AA | FORD &gt;&gt; 5016346 | HONDA &gt;&gt; 38920PE0013 | HONDA &gt;&gt; 38920PE0014 | LANCIA &gt;&gt; 7655543 | LANCIA &gt;&gt; 7649219 | MAZDA &gt;&gt; RFG118381A | MAZDA &gt;&gt; RFG118381B | MAZDA &gt;&gt; RFG118380B | MAZDA &gt;&gt; RFG118381 | MAZDA &gt;&gt; RFG118380 | MAZDA &gt;&gt; RFG118380A | MAZDA &gt;&gt; RF7115907B | MAZDA &gt;&gt; RFC618381 | MAZDA &gt;&gt; RF7115907 | MAZDA &gt;&gt; RF7115907A | MAZDA &gt;&gt; FE6518381 | NISSAN &gt;&gt; 11920M6601 | NISSAN &gt;&gt; 11920G2500 | NISSAN &gt;&gt; 1172029S00 | NISSAN &gt;&gt; 1192080W00 | NISSAN &gt;&gt; 117200E410 | NISSAN &gt;&gt; 11720D2811 | NISSAN &gt;&gt; 0211786523 | NISSAN &gt;&gt; 117200E401 | NISSAN &gt;&gt; 11720D2800 | NISSAN &gt;&gt; 0211784523 | NISSAN &gt;&gt; 117209C603 | NISSAN &gt;&gt; A172A59M9AGA | NISSAN &gt;&gt; 1172059M00 | NISSAN &gt;&gt; 117200E400 | NISSAN &gt;&gt; 11920W4400 | NISSAN &gt;&gt; 117202F610 | NISSAN &gt;&gt; 11920R2001 | NISSAN &gt;&gt; 11920M6660 | SUZUKI &gt;&gt; 9514177E81 | SUZUKI &gt;&gt; 9514177000 | TOYOTA &gt;&gt; 9091602125 | TOYOTA &gt;&gt; 9933200850 | TOYOTA &gt;&gt; 9933210860 | TOYOTA &gt;&gt; 9932200860 | TOYOTA &gt;&gt; 9514177E81 | TOYOTA &gt;&gt; 9091602140 | TOYOTA &gt;&gt; 9091602262 | HYUNDAI &gt;&gt; 2312724001 | DAEWOO &gt;&gt; 96486814 | DAEWOO &gt;&gt; 96350467 | ROV/TRI/JAG/AUS/MG &gt;&gt; GFB216 | ROV/TRI/JAG/AUS/MG &gt;&gt; GFB20864 | ROV/TRI/JAG/AUS/MG &gt;&gt; ERC2774 | ROV/TRI/JAG/AUS/MG &gt;&gt; ERC0400 | ROV/TRI/JAG/AUS/MG &gt;&gt; ERC1347 | ROV/TRI/JAG/AUS/MG &gt;&gt; 603713 | LAND ROVER &gt;&gt; GFB233 | LAND ROVER &gt;&gt; GFB216 | LAND ROVER &gt;&gt; GFB20864 | LAND ROVER &gt;&gt; 603713 | BOSCH &gt;&gt; 1987947403 | BOSCH &gt;&gt; 9134162172 | BOSCH &gt;&gt; 9134162170 | BOSCH &gt;&gt; 9114162170 | BOSCH &gt;&gt; 9104162170 | BOSCH &gt;&gt; 9104164160 | BOSCH &gt;&gt; 1987947651 | CONTITECH &gt;&gt; AVX13X850 | GATES &gt;&gt; 6615ES | GATES &gt;&gt; 6464MC | GATES &gt;&gt; 13X850LA | GATES &gt;&gt; AVX13X850LA | DAYCO &gt;&gt; 13A0850 | FERODO &gt;&gt; VT850 | FERODO &gt;&gt; VT837 | FERODO &gt;&gt; V5054 | FERODO &gt;&gt; V253 | FERODO &gt;&gt; FT837 | OPTIBELT &gt;&gt; 13X850 | OPTIBELT &gt;&gt; 4160 | OPTIBELT &gt;&gt; 2170 | MINTEX &gt;&gt; WKT335 | MINTEX &gt;&gt; PWKT850 | ROULUNDS RUBBER &gt;&gt; 1950 | ROULUNDS RUBBER &gt;&gt; 1750 | ROULUNDS RUBBER &gt;&gt; 1710 | ROULUNDS RUBBER &gt;&gt; 1670 | ROULUNDS RUBBER &gt;&gt; 5225 | ROULUNDS RUBBER &gt;&gt; 3A0850 | ROULUNDS RUBBER &gt;&gt; 3A0840 | AE &gt;&gt; SVB13850 | HUTCHINSON &gt;&gt; 5452 | HUTCHINSON &gt;&gt; AV13835CR | HUTCHINSON &gt;&gt; AV13825CR | KLEBER &gt;&gt; 13X860 | KLEBER &gt;&gt; 13X850 | KLEBER &gt;&gt; 13X840 | KLEBER &gt;&gt; AV13845 | KLEBER &gt;&gt; AV13835 | KLEBER &gt;&gt; AV13825CR | KLEBER &gt;&gt; 1366 | KLEBER &gt;&gt; 1302 | KLEBER &gt;&gt; 385 | MOTORCRAFT &gt;&gt; EJM334 | MOTORCRAFT &gt;&gt; EJJ334 | MOTORCRAFT &gt;&gt; EJE85 | HAVAM &gt;&gt; VS2091 | HAVAM &gt;&gt; VS2085 | HAVAM &gt;&gt; VG30850 | JP GROUP &gt;&gt; QBB850 | LUCAS ENGINE DRIVE &gt;&gt; KEB850 | UNIPART &gt;&gt; GMB20854 | UNIPART &gt;&gt; GFB216 | UNIPART &gt;&gt; GCB20850</t>
  </si>
  <si>
    <t>Length, mm &gt;&gt; 875 | Width, mm &gt;&gt; 10</t>
  </si>
  <si>
    <t>BEDFORD &gt;&gt; 90088832 | BMW &gt;&gt; 12311254121 | BMW &gt;&gt; 12311268675 | BMW &gt;&gt; 123188602025 | DAIHATSU &gt;&gt; 9004832024 | FIAT &gt;&gt; 107037B | FIAT &gt;&gt; 108017 | FIAT &gt;&gt; 7546910 | FIAT &gt;&gt; 7654167 | FIAT &gt;&gt; 9990155 | FIAT &gt;&gt; 60517424 | FORD &gt;&gt; 83HF8C301AA | FORD &gt;&gt; 72HF8620BA | HONDA &gt;&gt; 31110679004 | HONDA &gt;&gt; 56992PE0004 | HONDA &gt;&gt; 56992PEO004 | HONDA &gt;&gt; 31110679014 | MERCEDES-BENZ &gt;&gt; 0009977392 | MERCEDES-BENZ &gt;&gt; 0019974592 | NISSAN &gt;&gt; 11720D2000 | NISSAN &gt;&gt; 11720D0101 | NISSAN &gt;&gt; 1172069000 | NISSAN &gt;&gt; 11720V5510 | NISSAN &gt;&gt; 11720V5501 | NISSAN &gt;&gt; 11720V5500 | NISSAN &gt;&gt; 11720R7410 | NISSAN &gt;&gt; 11720N9800 | NISSAN &gt;&gt; 11720D3310 | NISSAN &gt;&gt; 11720D3301 | NISSAN &gt;&gt; 11720D3300 | NISSAN &gt;&gt; 11720D2005 | OPEL &gt;&gt; 3009003 | PORSCHE &gt;&gt; 99919213550 | ROVER &gt;&gt; UE34568 | ROVER &gt;&gt; GFB273 | ROVER &gt;&gt; GFB10875 | ROVER &gt;&gt; GCB10875 | SAAB &gt;&gt; 8339939 | TOYOTA &gt;&gt; 9932100870 | TOYOTA &gt;&gt; 9952110873 | TOYOTA &gt;&gt; 9952110880 | TOYOTA &gt;&gt; 9933110870 | TOYOTA &gt;&gt; 9952100870 | TOYOTA &gt;&gt; 9933100870 | TOYOTA &gt;&gt; 9933100880 | VOLVO &gt;&gt; 973547 | VOLVO &gt;&gt; 966904 | VOLVO &gt;&gt; 958305 | VOLVO &gt;&gt; 950360 | VOLVO &gt;&gt; 950355 | VOLVO &gt;&gt; 950353 | VOLVO &gt;&gt; 950350 | VOLVO &gt;&gt; 430174 | VW &gt;&gt; 06893137M | HYUNDAI &gt;&gt; 2521121000 | VAG &gt;&gt; 068903137L | VAG &gt;&gt; 068903137B | VAG &gt;&gt; 054903137D | VAG &gt;&gt; 059903137B | VAG &gt;&gt; J9933110870 | VAG &gt;&gt; 068903137M | VAG &gt;&gt; 3938737 | VAG &gt;&gt; 3938725 | VAG &gt;&gt; 059903137 | GENERAL MOTORS &gt;&gt; 950376 | GENERAL MOTORS &gt;&gt; 1854712 | GENERAL MOTORS &gt;&gt; 950358 | GENERAL MOTORS &gt;&gt; 950356 | GENERAL MOTORS &gt;&gt; 93182245 | GENERAL MOTORS &gt;&gt; 91142246 | GENERAL MOTORS &gt;&gt; 90183426 | GENERAL MOTORS &gt;&gt; 90169081 | GENERAL MOTORS &gt;&gt; 90006259 | CITROEN/PEUGEOT &gt;&gt; 575026 | CONTITECH &gt;&gt; AVX10X875 | GATES &gt;&gt; 6215MC | DAYCO &gt;&gt; 10A0875C</t>
  </si>
  <si>
    <t>BMW &gt;&gt; 12311254121 | BMW &gt;&gt; 12311268675 | BMW &gt;&gt; 12318602025 | DAIHATSU &gt;&gt; 9004832024 | FORD &gt;&gt; 6107712 | FORD &gt;&gt; 6146161 | FORD &gt;&gt; 83HF6C301AA | FORD &gt;&gt; 84HF6C301BA | FORD &gt;&gt; 72HF8620BA | HONDA &gt;&gt; 31110679014 | HONDA &gt;&gt; 56992PE0004 | HONDA &gt;&gt; 31110679004 | JAGUAR &gt;&gt; C36122 | MERCEDES-BENZ &gt;&gt; 0029978492 | MERCEDES-BENZ &gt;&gt; A95X875N275 | MERCEDES-BENZ &gt;&gt; A0009975992 | MERCEDES-BENZ &gt;&gt; A0019974592 | MERCEDES-BENZ &gt;&gt; A0059978392 | MERCEDES-BENZ &gt;&gt; A0029978492 | MERCEDES-BENZ &gt;&gt; 0009975992 | MERCEDES-BENZ &gt;&gt; 0019974592 | MERCEDES-BENZ &gt;&gt; 0059978392 | MERCEDES-BENZ &gt;&gt; 95X875N275 | NISSAN &gt;&gt; 11720R7410 | NISSAN &gt;&gt; 11720D3310 | NISSAN &gt;&gt; 11720D3301 | NISSAN &gt;&gt; 11720D3300 | NISSAN &gt;&gt; 11720D2005 | NISSAN &gt;&gt; 11720D2000 | NISSAN &gt;&gt; 11720D0101 | NISSAN &gt;&gt; 1172069000 | NISSAN &gt;&gt; 11720V5510 | NISSAN &gt;&gt; 11720W4405 | NISSAN &gt;&gt; 11720V5500 | NISSAN &gt;&gt; 11720V5501 | OPEL &gt;&gt; 0950355 | OPEL &gt;&gt; 0950354 | OPEL &gt;&gt; 0950353 | OPEL &gt;&gt; 0950350 | OPEL &gt;&gt; 3009003 | OPEL &gt;&gt; 1854712 | OPEL &gt;&gt; 950355 | OPEL &gt;&gt; 0950360 | OPEL &gt;&gt; 950360 | OPEL &gt;&gt; 950358 | OPEL &gt;&gt; 950356 | OPEL &gt;&gt; 950354 | OPEL &gt;&gt; 950353 | OPEL &gt;&gt; 0950358 | OPEL &gt;&gt; 950350 | OPEL &gt;&gt; 0950356 | PORSCHE &gt;&gt; 99919213550 | ROVER &gt;&gt; GFB273 | ROVER &gt;&gt; GFB10875 | ROVER &gt;&gt; AAU8072 | SAAB &gt;&gt; 8339939 | TOYOTA &gt;&gt; 9952110880 | TOYOTA &gt;&gt; 9933110870 | TOYOTA &gt;&gt; 9952100870 | TOYOTA &gt;&gt; 9952110873 | TOYOTA &gt;&gt; 9933110880 | TOYOTA &gt;&gt; 9932100870 | TOYOTA &gt;&gt; 9933100870 | TOYOTA &gt;&gt; 9933100880 | VOLVO &gt;&gt; 430174 | VOLVO &gt;&gt; 973547 | VOLVO &gt;&gt; 966904 | VOLVO &gt;&gt; 958305 | HYUNDAI &gt;&gt; 2521121000 | KIA &gt;&gt; 2521121000 | VAG &gt;&gt; 059903137B | VAG &gt;&gt; 059903137 | VAG &gt;&gt; J9933110870 | VAG &gt;&gt; 3938737 | VAG &gt;&gt; 3938725 | VAG &gt;&gt; 068903137M | VAG &gt;&gt; 054903137D | VAG &gt;&gt; 068903137L | VAG &gt;&gt; 068903137B | VAG &gt;&gt; 068903137A | ALFAROME/FIAT/LANCI &gt;&gt; 7546910 | ALFAROME/FIAT/LANCI &gt;&gt; 60517424 | ALFAROME/FIAT/LANCI &gt;&gt; 9990155 | ALFAROME/FIAT/LANCI &gt;&gt; 108017 | ALFAROME/FIAT/LANCI &gt;&gt; 107037B | ALFAROME/FIAT/LANCI &gt;&gt; 107037 | ALFAROME/FIAT/LANCI &gt;&gt; 119001020700 | GENERAL MOTORS &gt;&gt; 90006259 | GENERAL MOTORS &gt;&gt; 91142246 | GENERAL MOTORS &gt;&gt; 90183426 | GENERAL MOTORS &gt;&gt; 90169081 | GENERAL MOTORS &gt;&gt; 90088832 | CITROEN/PEUGEOT &gt;&gt; 575026 | BOSCH &gt;&gt; 1987947626 | BOSCH &gt;&gt; 1987947307 | CONTITECH &gt;&gt; AVX10X875 | GATES &gt;&gt; 6215MC | DAYCO &gt;&gt; 10A0875C | DAYCO &gt;&gt; 15350 | OPTIBELT &gt;&gt; AVX10X875 | AE &gt;&gt; SVB10875 | GOODYEAR &gt;&gt; 10AV0875</t>
  </si>
  <si>
    <t>Width, mm &gt;&gt; 13 | Length, mm &gt;&gt; 825</t>
  </si>
  <si>
    <t>BMW &gt;&gt; 64521258239 | BMW &gt;&gt; 64521268683 | BMW &gt;&gt; 11232242209 | BMW &gt;&gt; 64521276096 | BMW &gt;&gt; 64551716960 | BMW &gt;&gt; 64551722990 | CHRYSLER &gt;&gt; 53001772 | FORD &gt;&gt; 3950922 | FORD &gt;&gt; XM343F572AA | FORD &gt;&gt; 4070304 | HONDA &gt;&gt; 38920PE1701 | HONDA &gt;&gt; 38920PE1711 | ISUZU &gt;&gt; 8944273530 | MAZDA &gt;&gt; F87418381 | MAZDA &gt;&gt; FE1H15907 | MERCEDES-BENZ &gt;&gt; A0069977592 | MERCEDES-BENZ &gt;&gt; A007753012558 | MERCEDES-BENZ &gt;&gt; 0059976292 | MERCEDES-BENZ &gt;&gt; A0059976292 | MERCEDES-BENZ &gt;&gt; A0069976892 | MERCEDES-BENZ &gt;&gt; A0029975392 | MERCEDES-BENZ &gt;&gt; A0029978692 | MERCEDES-BENZ &gt;&gt; 007753012558 | MERCEDES-BENZ &gt;&gt; 0069977592 | MERCEDES-BENZ &gt;&gt; 0029975392 | MERCEDES-BENZ &gt;&gt; 0029978692 | MERCEDES-BENZ &gt;&gt; 0069976892 | MITSUBISHI &gt;&gt; MB167062 | NISSAN &gt;&gt; 1192030W00 | NISSAN &gt;&gt; 0211782023 | NISSAN &gt;&gt; 1192021M00 | NISSAN &gt;&gt; 1192004W00 | NISSAN &gt;&gt; 11750V5700 | NISSAN &gt;&gt; 11920V2100 | NISSAN &gt;&gt; 11920G2500 | NISSAN &gt;&gt; 1192080W10 | NISSAN &gt;&gt; 0211782026 | NISSAN &gt;&gt; 1192080W00 | RENAULT &gt;&gt; 7700690029 | TOYOTA &gt;&gt; 9933260835 | TOYOTA &gt;&gt; 9952210808 | TOYOTA &gt;&gt; 9933210820 | TOYOTA &gt;&gt; 9933210835 | TOYOTA &gt;&gt; 9933200825 | TOYOTA &gt;&gt; 9933200830 | TOYOTA &gt;&gt; 9932200805 | TOYOTA &gt;&gt; 9932250835 | TOYOTA &gt;&gt; 9091602080 | HYUNDAI &gt;&gt; 2312724710 | HYUNDAI &gt;&gt; 2312724010 | HYUNDAI &gt;&gt; 9771324710 | KIA &gt;&gt; 2312724710 | KIA &gt;&gt; 2312724010 | KIA &gt;&gt; 9771324710 | VAG &gt;&gt; 068260149A | VAG &gt;&gt; 049260849A | VAG &gt;&gt; J9933200830 | ALFAROME/FIAT/LANCI &gt;&gt; 7589248 | ALFAROME/FIAT/LANCI &gt;&gt; 4834880 | GENERAL MOTORS &gt;&gt; 96182007 | BOSCH &gt;&gt; 1987947741 | BOSCH &gt;&gt; 1987947650 | BOSCH &gt;&gt; 1987947402 | CONTITECH &gt;&gt; AVX13X825 | CONTITECH &gt;&gt; AVX13X830 | GATES &gt;&gt; 6463MC | DAYCO &gt;&gt; 13A0825C | OPTIBELT &gt;&gt; AVX13X825 | OPTIBELT &gt;&gt; AVX13X825TM | AE &gt;&gt; SVB13825 | GOODYEAR &gt;&gt; 13AV0825</t>
  </si>
  <si>
    <t>HONDA &gt;&gt; 31110PE0003 | HONDA &gt;&gt; 31110PE00030 | HONDA &gt;&gt; 31110PE03050 | HONDA &gt;&gt; 31110PE0013 | HONDA &gt;&gt; 31110PE0003EH | HONDA &gt;&gt; 31110PE0004 | PEUGEOT &gt;&gt; 5750FL | RENAULT &gt;&gt; 8200065601 | RENAULT &gt;&gt; 8200830182 | ROVER &gt;&gt; GFB366 | ROVER &gt;&gt; GMB30738 | ROVER &gt;&gt; DBP9214 | ROVER &gt;&gt; GFB350 | ROVER &gt;&gt; DBP9213 | CONTITECH &gt;&gt; 3PK740 | CONTITECH &gt;&gt; 3PK735 | GATES &gt;&gt; 3PK738 | DAYCO &gt;&gt; 3PK735 | METZGER &gt;&gt; 3PK736 | FEBI BILSTEIN &gt;&gt; 28746 | SWAG &gt;&gt; 60928746 | FLENNOR &gt;&gt; 3PK0738 | FAI AutoParts &gt;&gt; 3PK0737</t>
  </si>
  <si>
    <t>HONDA &gt;&gt; 31110PE00040 | HONDA &gt;&gt; 31110PE0003 | HONDA &gt;&gt; 31110PE0004 | MG &gt;&gt; PQS101450 | NISSAN &gt;&gt; 1172000QAR | NISSAN &gt;&gt; 1172000Q3D | NISSAN &gt;&gt; 1172000Q2K | NISSAN &gt;&gt; 1172000QAV | PEUGEOT &gt;&gt; 5750FL | RENAULT &gt;&gt; 8200065601 | RENAULT &gt;&gt; 8200830182 | ROVER &gt;&gt; PQS101450 | ROVER &gt;&gt; GFB366 | ROVER &gt;&gt; GMB30738 | ROVER &gt;&gt; GFB350 | ROVER &gt;&gt; DBP9213 | ROVER &gt;&gt; DBP9214 | SUZUKI &gt;&gt; 9936380740 | TOYOTA &gt;&gt; 9091602314 | DACIA &gt;&gt; 8200830182 | BOSCH &gt;&gt; 1987947800 | CONTITECH &gt;&gt; 3PK740 | CONTITECH &gt;&gt; 3PK735 | DAYCO &gt;&gt; 3PK740 | DAYCO &gt;&gt; 3PK736 | SKF &gt;&gt; VKMV3PK738 | SKF &gt;&gt; VKMV3PK740 | QUINTON HAZELL &gt;&gt; QBR3737 | OPTIBELT &gt;&gt; 3PK740 | OPTIBELT &gt;&gt; 3PK735 | ROULUNDS RUBBER &gt;&gt; 3K0735 | ROULUNDS RUBBER &gt;&gt; 3K0740 | FEBI BILSTEIN &gt;&gt; 28746 | FEBI BILSTEIN &gt;&gt; 28745 | TRISCAN &gt;&gt; 8640300738 | SNR &gt;&gt; 3PK740 | SNR &gt;&gt; 3PK736 | JAPANPARTS &gt;&gt; TV737 | JAPANPARTS &gt;&gt; JTV737 | JAPANPARTS &gt;&gt; DV3PK0740 | JAPANPARTS &gt;&gt; DV3PK0735 | KAVO PARTS &gt;&gt; DMV2034 | VEYANCE &gt;&gt; 3PK0740G | VEYANCE &gt;&gt; 3PK0740E | VEYANCE &gt;&gt; 3PK0740 | VEYANCE &gt;&gt; 3PK0737 | HUTCHINSON &gt;&gt; 735K3 | HUTCHINSON &gt;&gt; 740K3 | SWAG &gt;&gt; 60928746 | SWAG &gt;&gt; 60928745 | FLENNOR &gt;&gt; 3PK738 | FLENNOR &gt;&gt; 3PK0738 | BANDO &gt;&gt; 3PK740 | NIPPARTS &gt;&gt; J1030735</t>
  </si>
  <si>
    <t>HONDA &gt;&gt; 31110PE0004 | HONDA &gt;&gt; 31110PE00030 | HONDA &gt;&gt; 31110PE00040 | MG &gt;&gt; PQS101450 | NISSAN &gt;&gt; 1172000QAR | NISSAN &gt;&gt; 1172000QAV | RENAULT &gt;&gt; 8200830182 | RENAULT &gt;&gt; 8200065601 | ROVER &gt;&gt; PQS101450 | ROVER &gt;&gt; GFB366 | ROVER &gt;&gt; GMB30738 | ROVER &gt;&gt; DBP9214 | ROVER &gt;&gt; GFB350 | ROVER &gt;&gt; DBP9213 | SUZUKI &gt;&gt; 9936380740 | TOYOTA &gt;&gt; 9091602314 | CONTITECH &gt;&gt; 3PK740 | GATES &gt;&gt; 3PK738 | DAYCO &gt;&gt; 3PK740 | SKF &gt;&gt; VKMV3PK738 | SKF &gt;&gt; VKMV3PK740 | QUINTON HAZELL &gt;&gt; QBR3737 | OPTIMAL &gt;&gt; QBR3737 | VEYANCE &gt;&gt; 3PK0740 | VEYANCE &gt;&gt; 3PK0737 | VEYANCE &gt;&gt; 3PK0740G | BANDO &gt;&gt; 3PK740</t>
  </si>
  <si>
    <t>HONDA &gt;&gt; 31110PE00040 | HONDA &gt;&gt; 31110PE0003 | HONDA &gt;&gt; 31110PE00030 | HONDA &gt;&gt; 31110PE0004 | MG &gt;&gt; PQS101450 | NISSAN &gt;&gt; 1172000Q3D | NISSAN &gt;&gt; 1172000Q2K | NISSAN &gt;&gt; 1172000QAV | NISSAN &gt;&gt; 1172000QAR | PEUGEOT &gt;&gt; 5750FL | RENAULT &gt;&gt; 8200065601 | RENAULT &gt;&gt; 8200830182 | ROVER &gt;&gt; PQS101450 | ROVER &gt;&gt; GFB350 | ROVER &gt;&gt; GFB366 | ROVER &gt;&gt; GMB30738 | ROVER &gt;&gt; DBP9213 | ROVER &gt;&gt; DBP9214 | SUBARU &gt;&gt; 809211020 | SUZUKI &gt;&gt; 9936380740 | TOYOTA &gt;&gt; 9091602314 | DACIA &gt;&gt; 8200830182 | BOSCH &gt;&gt; 1987947800 | CONTITECH &gt;&gt; 3PK735 | CONTITECH &gt;&gt; 3PK740 | GATES &gt;&gt; 3PK738 | GATES &gt;&gt; 38344 | DAYCO &gt;&gt; 3PK736 | DAYCO &gt;&gt; 3PK740 | SKF &gt;&gt; VKMV3PK740 | SKF &gt;&gt; VKMV3PK738 | QUINTON HAZELL &gt;&gt; QBR3737 | OPTIBELT &gt;&gt; 3PK735 | OPTIBELT &gt;&gt; 3PK740 | ROULUNDS RUBBER &gt;&gt; 3K0740 | ROULUNDS RUBBER &gt;&gt; 3K0735 | FEBI BILSTEIN &gt;&gt; 28746 | FEBI BILSTEIN &gt;&gt; 28745 | TRISCAN &gt;&gt; 163K0736 | TRISCAN &gt;&gt; 14013PK738 | TRISCAN &gt;&gt; GA3PK738 | TRISCAN &gt;&gt; 863PK735 | TRISCAN &gt;&gt; 3PK0736 | TRISCAN &gt;&gt; 053PK738 | TRISCAN &gt;&gt; 163K0740 | SNR &gt;&gt; 3PK736 | SNR &gt;&gt; 3PK740 | JAPANPARTS &gt;&gt; TV737 | JAPANPARTS &gt;&gt; JTV737 | JAPANPARTS &gt;&gt; DV3PK0740 | KAVO PARTS &gt;&gt; DMV2034 | VEYANCE &gt;&gt; 3PK0740G | VEYANCE &gt;&gt; 3PK0740E | VEYANCE &gt;&gt; 3PK0740 | VEYANCE &gt;&gt; 3PK0737 | HUTCHINSON &gt;&gt; 740K3 | HUTCHINSON &gt;&gt; 735K3 | FLENNOR &gt;&gt; 3PK0738 | FLENNOR &gt;&gt; 3PK738</t>
  </si>
  <si>
    <t>Length, mm &gt;&gt; 737 | Number of Ribs,  &gt;&gt; 3</t>
  </si>
  <si>
    <t>HONDA &gt;&gt; 31110PE0004 | HONDA &gt;&gt; 31110PE0003 | HONDA &gt;&gt; 31110PE00040 | MG &gt;&gt; PQS101450 | NISSAN &gt;&gt; 1172000Q3D | NISSAN &gt;&gt; 1172000QAV | NISSAN &gt;&gt; 1172000QAR | NISSAN &gt;&gt; 1172000Q2K | PEUGEOT &gt;&gt; 5750FL | RENAULT &gt;&gt; 8200830182 | RENAULT &gt;&gt; 8200065601 | ROVER &gt;&gt; PQS101450 | ROVER &gt;&gt; GMB30738 | ROVER &gt;&gt; GFB366 | ROVER &gt;&gt; GFB350 | ROVER &gt;&gt; DBP9214 | ROVER &gt;&gt; DBP9213 | SUZUKI &gt;&gt; 9936380740 | TOYOTA &gt;&gt; 9091602314 | DACIA &gt;&gt; 8200830182</t>
  </si>
  <si>
    <t>Length, mm &gt;&gt; 736 | Number of Ribs,  &gt;&gt; 3</t>
  </si>
  <si>
    <t>HONDA &gt;&gt; 31110PEOB003 | HONDA &gt;&gt; 31110PEO3050 | HONDA &gt;&gt; 31110PEO004 | HONDA &gt;&gt; 31110PEO003 | HONDA &gt;&gt; 31110PE0004 | HONDA &gt;&gt; 31110PE0003 | ROVER &gt;&gt; PQS101450 | ROVER &gt;&gt; GFB366 | ROVER &gt;&gt; GFB350 | ROVER &gt;&gt; DBP9214 | ROVER &gt;&gt; DBP9213 | CONTITECH &gt;&gt; 3K735 | GATES &gt;&gt; 3PK738 | DAYCO &gt;&gt; 3PK736</t>
  </si>
  <si>
    <t>Number of Ribs,  &gt;&gt; 3 | Length, mm &gt;&gt; 738</t>
  </si>
  <si>
    <t>HONDA &gt;&gt; 31110PE00040 | HONDA &gt;&gt; 31110PE0003 | HONDA &gt;&gt; 31110PE0004 | NISSAN &gt;&gt; 1172000QAR | NISSAN &gt;&gt; 1172000Q2K | NISSAN &gt;&gt; 1172000Q3D | NISSAN &gt;&gt; 1172000QAV | RENAULT &gt;&gt; 8200065601 | RENAULT &gt;&gt; 8200830182 | ROVER &gt;&gt; PQS101450 | ROVER &gt;&gt; GFB366 | ROVER &gt;&gt; GMB30738 | ROVER &gt;&gt; DBP9214 | ROVER &gt;&gt; GFB350 | ROVER &gt;&gt; DBP9213 | SUZUKI &gt;&gt; 9936380740 | TOYOTA &gt;&gt; 9091602314 | CITROEN/PEUGEOT &gt;&gt; 5750FL | BOSCH &gt;&gt; 1987947800 | CONTITECH &gt;&gt; 3PK735 | CONTITECH &gt;&gt; 3PK740 | GATES &gt;&gt; 38344 | GATES &gt;&gt; 3PK738 | DAYCO &gt;&gt; 3PK736 | DAYCO &gt;&gt; 3PK740 | OPTIBELT &gt;&gt; 3PK735 | OPTIBELT &gt;&gt; 3PK740 | AE &gt;&gt; MVB735R3 | GOODYEAR &gt;&gt; 3PK0740G | GOODYEAR &gt;&gt; 3PK0740 | GOODYEAR &gt;&gt; 3PK0737</t>
  </si>
  <si>
    <t>Teeth Quant.,  &gt;&gt; 101 | Width, mm &gt;&gt; 24</t>
  </si>
  <si>
    <t>AUSTIN &gt;&gt; DBP9289 | AUSTIN &gt;&gt; DBP4131 | HONDA &gt;&gt; 14400PE0004 | HONDA &gt;&gt; 14400PE3004 | MG &gt;&gt; DBP4131 | MG &gt;&gt; DBP9289 | MORRIS &gt;&gt; DBP4131 | MORRIS &gt;&gt; DBP9289 | ROVER &gt;&gt; DBP4131 | ROVER &gt;&gt; DBP9289 | TRIUMPH &gt;&gt; DBP9289 | TRIUMPH &gt;&gt; DBP4131 | LUCAS ELECTRICAL &gt;&gt; KCB174 | RUVILLE &gt;&gt; 557404 | BOSCH &gt;&gt; 1987949081 | CONTITECH &gt;&gt; CT546 | CONTITECH &gt;&gt; HTD9629525M24 | CONTITECH &gt;&gt; 9402 | CONTITECH &gt;&gt; HTD962X24 | CONTITECH &gt;&gt; 6589402 | DAYCO &gt;&gt; 101RP240H | DAYCO &gt;&gt; 101RP240 | DAYCO &gt;&gt; 94181 | DAYCO &gt;&gt; 94105 | DAYCO &gt;&gt; 101SP240H | DAYCO &gt;&gt; 101SP240 | QUINTON HAZELL &gt;&gt; QTB163 | FERODO &gt;&gt; 4872584 | OPTIBELT &gt;&gt; ZRK1109 | OPTIBELT &gt;&gt; HR58101X24MM | ROULUNDS RUBBER &gt;&gt; RR1421 | ROULUNDS RUBBER &gt;&gt; 101CP240 | ROULUNDS RUBBER &gt;&gt; 101HP240 | TRISCAN &gt;&gt; 86455084XS | AE &gt;&gt; TB203 | JAPANPARTS &gt;&gt; JDD404 | JAPANPARTS &gt;&gt; DD404 | KAVO PARTS &gt;&gt; DTB2004 | VEYANCE &gt;&gt; 101H95T240 | VEYANCE &gt;&gt; G1067H | VEYANCE &gt;&gt; 101H95P240 | HUTCHINSON &gt;&gt; 101HTD24 | HUTCHINSON &gt;&gt; 58101X24MM | KLEBER &gt;&gt; 2101240HP | KLEBER &gt;&gt; 2101240 | MOPROD &gt;&gt; MTB88 | MOPROD &gt;&gt; MDBP4131 | UNIPART &gt;&gt; GTB1084 | HAVAM &gt;&gt; VS9201 | INA &gt;&gt; 536007810 | FLENNOR &gt;&gt; 4973V | NIPPARTS &gt;&gt; J112404 | NIPPARTS &gt;&gt; J1124007 | NIPPARTS &gt;&gt; J1124004 | FAI AutoParts &gt;&gt; 40101 | BLUE PRINT &gt;&gt; ADH27507 | FIRST LINE &gt;&gt; FTB3322</t>
  </si>
  <si>
    <t>from construction year &gt;&gt; 10/1985 | Driven Units &gt;&gt; Driven unit: camshaft</t>
  </si>
  <si>
    <t>HONDA &gt;&gt; 14400PE3004 | HONDA &gt;&gt; 14400PE0004 | ROVER &gt;&gt; DBP9289 | ROVER &gt;&gt; DBP4131 | BOSCH &gt;&gt; 1987949081 | CONTITECH &gt;&gt; CT546 | GATES &gt;&gt; 5084XS | DAYCO &gt;&gt; 94181 | OPTIBELT &gt;&gt; ZRK1109 | AE &gt;&gt; TB203 | INA &gt;&gt; 536007810 | GOODYEAR &gt;&gt; G1067H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</si>
</sst>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425"/>
  <sheetViews>
    <sheetView tabSelected="1" workbookViewId="0"/>
  </sheetViews>
  <sheetFormatPr defaultRowHeight="1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13527</v>
      </c>
      <c r="B2" t="s">
        <v>25</v>
      </c>
      <c r="C2" t="str">
        <f t="shared" ref="C2:C65" si="0">"INTEGRA Saloon"</f>
        <v>INTEGRA Saloon</v>
      </c>
      <c r="D2" t="str">
        <f t="shared" ref="D2:D65" si="1">"1.5"</f>
        <v>1.5</v>
      </c>
      <c r="E2" t="s">
        <v>26</v>
      </c>
      <c r="F2">
        <v>198501</v>
      </c>
      <c r="G2">
        <v>199012</v>
      </c>
      <c r="H2">
        <v>63</v>
      </c>
      <c r="I2">
        <v>85</v>
      </c>
      <c r="J2">
        <v>1488</v>
      </c>
      <c r="K2">
        <v>3960330</v>
      </c>
      <c r="L2" t="s">
        <v>27</v>
      </c>
      <c r="M2" t="str">
        <f>"A54524GL"</f>
        <v>A54524GL</v>
      </c>
      <c r="N2" t="str">
        <f>"A54524GL"</f>
        <v>A54524GL</v>
      </c>
      <c r="O2" t="str">
        <f>""</f>
        <v/>
      </c>
      <c r="P2" t="s">
        <v>28</v>
      </c>
      <c r="Q2" t="str">
        <f>""</f>
        <v/>
      </c>
      <c r="U2">
        <v>1</v>
      </c>
      <c r="V2" t="s">
        <v>28</v>
      </c>
      <c r="W2" t="s">
        <v>29</v>
      </c>
      <c r="X2" t="s">
        <v>30</v>
      </c>
    </row>
    <row r="3" spans="1:25">
      <c r="A3">
        <v>13527</v>
      </c>
      <c r="B3" t="s">
        <v>25</v>
      </c>
      <c r="C3" t="str">
        <f t="shared" si="0"/>
        <v>INTEGRA Saloon</v>
      </c>
      <c r="D3" t="str">
        <f t="shared" si="1"/>
        <v>1.5</v>
      </c>
      <c r="E3" t="s">
        <v>26</v>
      </c>
      <c r="F3">
        <v>198501</v>
      </c>
      <c r="G3">
        <v>199012</v>
      </c>
      <c r="H3">
        <v>63</v>
      </c>
      <c r="I3">
        <v>85</v>
      </c>
      <c r="J3">
        <v>1488</v>
      </c>
      <c r="K3">
        <v>4205132</v>
      </c>
      <c r="L3" t="s">
        <v>31</v>
      </c>
      <c r="M3" t="str">
        <f>"156"</f>
        <v>156</v>
      </c>
      <c r="N3" t="str">
        <f>"156"</f>
        <v>156</v>
      </c>
      <c r="O3" t="str">
        <f>"54584"</f>
        <v>54584</v>
      </c>
      <c r="P3" t="s">
        <v>28</v>
      </c>
      <c r="Q3" t="str">
        <f>"5050694001239"</f>
        <v>5050694001239</v>
      </c>
      <c r="U3">
        <v>1</v>
      </c>
      <c r="V3" t="s">
        <v>28</v>
      </c>
      <c r="W3" t="s">
        <v>29</v>
      </c>
      <c r="X3" t="s">
        <v>30</v>
      </c>
    </row>
    <row r="4" spans="1:25">
      <c r="A4">
        <v>13527</v>
      </c>
      <c r="B4" t="s">
        <v>25</v>
      </c>
      <c r="C4" t="str">
        <f t="shared" si="0"/>
        <v>INTEGRA Saloon</v>
      </c>
      <c r="D4" t="str">
        <f t="shared" si="1"/>
        <v>1.5</v>
      </c>
      <c r="E4" t="s">
        <v>26</v>
      </c>
      <c r="F4">
        <v>198501</v>
      </c>
      <c r="G4">
        <v>199012</v>
      </c>
      <c r="H4">
        <v>63</v>
      </c>
      <c r="I4">
        <v>85</v>
      </c>
      <c r="J4">
        <v>1488</v>
      </c>
      <c r="K4">
        <v>4205269</v>
      </c>
      <c r="L4" t="s">
        <v>31</v>
      </c>
      <c r="M4" t="str">
        <f>"YBX3053"</f>
        <v>YBX3053</v>
      </c>
      <c r="N4" t="str">
        <f>"YBX3053"</f>
        <v>YBX3053</v>
      </c>
      <c r="O4" t="str">
        <f>""</f>
        <v/>
      </c>
      <c r="P4" t="s">
        <v>28</v>
      </c>
      <c r="Q4" t="str">
        <f>"5050694029578"</f>
        <v>5050694029578</v>
      </c>
      <c r="U4">
        <v>1</v>
      </c>
      <c r="V4" t="s">
        <v>28</v>
      </c>
      <c r="W4" t="s">
        <v>29</v>
      </c>
      <c r="X4" t="s">
        <v>30</v>
      </c>
    </row>
    <row r="5" spans="1:25">
      <c r="A5">
        <v>13527</v>
      </c>
      <c r="B5" t="s">
        <v>25</v>
      </c>
      <c r="C5" t="str">
        <f t="shared" si="0"/>
        <v>INTEGRA Saloon</v>
      </c>
      <c r="D5" t="str">
        <f t="shared" si="1"/>
        <v>1.5</v>
      </c>
      <c r="E5" t="s">
        <v>26</v>
      </c>
      <c r="F5">
        <v>198501</v>
      </c>
      <c r="G5">
        <v>199012</v>
      </c>
      <c r="H5">
        <v>63</v>
      </c>
      <c r="I5">
        <v>85</v>
      </c>
      <c r="J5">
        <v>1488</v>
      </c>
      <c r="K5">
        <v>4205297</v>
      </c>
      <c r="L5" t="s">
        <v>31</v>
      </c>
      <c r="M5" t="str">
        <f>"YBX5053"</f>
        <v>YBX5053</v>
      </c>
      <c r="N5" t="str">
        <f>"YBX5053"</f>
        <v>YBX5053</v>
      </c>
      <c r="O5" t="str">
        <f>""</f>
        <v/>
      </c>
      <c r="P5" t="s">
        <v>28</v>
      </c>
      <c r="Q5" t="str">
        <f>"5050694029400"</f>
        <v>5050694029400</v>
      </c>
      <c r="U5">
        <v>1</v>
      </c>
      <c r="V5" t="s">
        <v>28</v>
      </c>
      <c r="W5" t="s">
        <v>29</v>
      </c>
      <c r="X5" t="s">
        <v>30</v>
      </c>
    </row>
    <row r="6" spans="1:25">
      <c r="A6">
        <v>13527</v>
      </c>
      <c r="B6" t="s">
        <v>25</v>
      </c>
      <c r="C6" t="str">
        <f t="shared" si="0"/>
        <v>INTEGRA Saloon</v>
      </c>
      <c r="D6" t="str">
        <f t="shared" si="1"/>
        <v>1.5</v>
      </c>
      <c r="E6" t="s">
        <v>26</v>
      </c>
      <c r="F6">
        <v>198501</v>
      </c>
      <c r="G6">
        <v>199012</v>
      </c>
      <c r="H6">
        <v>63</v>
      </c>
      <c r="I6">
        <v>85</v>
      </c>
      <c r="J6">
        <v>1488</v>
      </c>
      <c r="K6">
        <v>4205345</v>
      </c>
      <c r="L6" t="s">
        <v>32</v>
      </c>
      <c r="M6" t="str">
        <f>"053"</f>
        <v>053</v>
      </c>
      <c r="N6" t="str">
        <f>"053"</f>
        <v>053</v>
      </c>
      <c r="O6" t="str">
        <f>"46B24L"</f>
        <v>46B24L</v>
      </c>
      <c r="P6" t="s">
        <v>28</v>
      </c>
      <c r="Q6" t="str">
        <f>""</f>
        <v/>
      </c>
      <c r="U6">
        <v>1</v>
      </c>
      <c r="V6" t="s">
        <v>28</v>
      </c>
      <c r="W6" t="s">
        <v>29</v>
      </c>
      <c r="X6" t="s">
        <v>30</v>
      </c>
    </row>
    <row r="7" spans="1:25">
      <c r="A7">
        <v>13527</v>
      </c>
      <c r="B7" t="s">
        <v>25</v>
      </c>
      <c r="C7" t="str">
        <f t="shared" si="0"/>
        <v>INTEGRA Saloon</v>
      </c>
      <c r="D7" t="str">
        <f t="shared" si="1"/>
        <v>1.5</v>
      </c>
      <c r="E7" t="s">
        <v>26</v>
      </c>
      <c r="F7">
        <v>198501</v>
      </c>
      <c r="G7">
        <v>199012</v>
      </c>
      <c r="H7">
        <v>63</v>
      </c>
      <c r="I7">
        <v>85</v>
      </c>
      <c r="J7">
        <v>1488</v>
      </c>
      <c r="K7">
        <v>4205369</v>
      </c>
      <c r="L7" t="s">
        <v>32</v>
      </c>
      <c r="M7" t="str">
        <f>"156"</f>
        <v>156</v>
      </c>
      <c r="N7" t="str">
        <f>"156"</f>
        <v>156</v>
      </c>
      <c r="O7" t="str">
        <f>"46B24L"</f>
        <v>46B24L</v>
      </c>
      <c r="P7" t="s">
        <v>28</v>
      </c>
      <c r="Q7" t="str">
        <f>""</f>
        <v/>
      </c>
      <c r="U7">
        <v>1</v>
      </c>
      <c r="V7" t="s">
        <v>28</v>
      </c>
      <c r="W7" t="s">
        <v>29</v>
      </c>
      <c r="X7" t="s">
        <v>30</v>
      </c>
    </row>
    <row r="8" spans="1:25">
      <c r="A8">
        <v>13527</v>
      </c>
      <c r="B8" t="s">
        <v>25</v>
      </c>
      <c r="C8" t="str">
        <f t="shared" si="0"/>
        <v>INTEGRA Saloon</v>
      </c>
      <c r="D8" t="str">
        <f t="shared" si="1"/>
        <v>1.5</v>
      </c>
      <c r="E8" t="s">
        <v>26</v>
      </c>
      <c r="F8">
        <v>198501</v>
      </c>
      <c r="G8">
        <v>199012</v>
      </c>
      <c r="H8">
        <v>63</v>
      </c>
      <c r="I8">
        <v>85</v>
      </c>
      <c r="J8">
        <v>1488</v>
      </c>
      <c r="K8">
        <v>4205429</v>
      </c>
      <c r="L8" t="s">
        <v>32</v>
      </c>
      <c r="M8" t="str">
        <f>"GLD053"</f>
        <v>GLD053</v>
      </c>
      <c r="N8" t="str">
        <f>"GLD053"</f>
        <v>GLD053</v>
      </c>
      <c r="O8" t="str">
        <f>""</f>
        <v/>
      </c>
      <c r="P8" t="s">
        <v>28</v>
      </c>
      <c r="Q8" t="str">
        <f>"5050694032622"</f>
        <v>5050694032622</v>
      </c>
      <c r="U8">
        <v>1</v>
      </c>
      <c r="V8" t="s">
        <v>28</v>
      </c>
      <c r="W8" t="s">
        <v>29</v>
      </c>
      <c r="X8" t="s">
        <v>30</v>
      </c>
    </row>
    <row r="9" spans="1:25">
      <c r="A9">
        <v>13527</v>
      </c>
      <c r="B9" t="s">
        <v>25</v>
      </c>
      <c r="C9" t="str">
        <f t="shared" si="0"/>
        <v>INTEGRA Saloon</v>
      </c>
      <c r="D9" t="str">
        <f t="shared" si="1"/>
        <v>1.5</v>
      </c>
      <c r="E9" t="s">
        <v>26</v>
      </c>
      <c r="F9">
        <v>198501</v>
      </c>
      <c r="G9">
        <v>199012</v>
      </c>
      <c r="H9">
        <v>63</v>
      </c>
      <c r="I9">
        <v>85</v>
      </c>
      <c r="J9">
        <v>1488</v>
      </c>
      <c r="K9">
        <v>4205527</v>
      </c>
      <c r="L9" t="s">
        <v>32</v>
      </c>
      <c r="M9" t="str">
        <f>"SLV053"</f>
        <v>SLV053</v>
      </c>
      <c r="N9" t="str">
        <f>"SLV053"</f>
        <v>SLV053</v>
      </c>
      <c r="O9" t="str">
        <f>""</f>
        <v/>
      </c>
      <c r="P9" t="s">
        <v>28</v>
      </c>
      <c r="Q9" t="str">
        <f>"5050694032820"</f>
        <v>5050694032820</v>
      </c>
      <c r="U9">
        <v>1</v>
      </c>
      <c r="V9" t="s">
        <v>28</v>
      </c>
      <c r="W9" t="s">
        <v>29</v>
      </c>
      <c r="X9" t="s">
        <v>30</v>
      </c>
    </row>
    <row r="10" spans="1:25">
      <c r="A10">
        <v>13527</v>
      </c>
      <c r="B10" t="s">
        <v>25</v>
      </c>
      <c r="C10" t="str">
        <f t="shared" si="0"/>
        <v>INTEGRA Saloon</v>
      </c>
      <c r="D10" t="str">
        <f t="shared" si="1"/>
        <v>1.5</v>
      </c>
      <c r="E10" t="s">
        <v>26</v>
      </c>
      <c r="F10">
        <v>198501</v>
      </c>
      <c r="G10">
        <v>199012</v>
      </c>
      <c r="H10">
        <v>63</v>
      </c>
      <c r="I10">
        <v>85</v>
      </c>
      <c r="J10">
        <v>1488</v>
      </c>
      <c r="K10">
        <v>3034000</v>
      </c>
      <c r="L10" t="s">
        <v>33</v>
      </c>
      <c r="M10" t="str">
        <f>"J5214010"</f>
        <v>J5214010</v>
      </c>
      <c r="N10" t="str">
        <f>"J5214010"</f>
        <v>J5214010</v>
      </c>
      <c r="O10" t="str">
        <f>""</f>
        <v/>
      </c>
      <c r="P10" t="s">
        <v>34</v>
      </c>
      <c r="Q10" t="str">
        <f>"8711768070199"</f>
        <v>8711768070199</v>
      </c>
      <c r="R10" t="s">
        <v>35</v>
      </c>
      <c r="T10" s="1" t="s">
        <v>36</v>
      </c>
      <c r="U10">
        <v>2</v>
      </c>
      <c r="V10" t="s">
        <v>34</v>
      </c>
      <c r="W10" t="s">
        <v>34</v>
      </c>
      <c r="X10" t="s">
        <v>30</v>
      </c>
    </row>
    <row r="11" spans="1:25">
      <c r="A11">
        <v>13527</v>
      </c>
      <c r="B11" t="s">
        <v>25</v>
      </c>
      <c r="C11" t="str">
        <f t="shared" si="0"/>
        <v>INTEGRA Saloon</v>
      </c>
      <c r="D11" t="str">
        <f t="shared" si="1"/>
        <v>1.5</v>
      </c>
      <c r="E11" t="s">
        <v>26</v>
      </c>
      <c r="F11">
        <v>198501</v>
      </c>
      <c r="G11">
        <v>199012</v>
      </c>
      <c r="H11">
        <v>63</v>
      </c>
      <c r="I11">
        <v>85</v>
      </c>
      <c r="J11">
        <v>1488</v>
      </c>
      <c r="K11">
        <v>3964070</v>
      </c>
      <c r="L11" t="s">
        <v>27</v>
      </c>
      <c r="M11" t="str">
        <f>"H14620"</f>
        <v>H14620</v>
      </c>
      <c r="N11" t="str">
        <f>"H146-20"</f>
        <v>H146-20</v>
      </c>
      <c r="O11" t="str">
        <f>""</f>
        <v/>
      </c>
      <c r="P11" t="s">
        <v>34</v>
      </c>
      <c r="Q11" t="str">
        <f>"8718993212066"</f>
        <v>8718993212066</v>
      </c>
      <c r="R11" t="s">
        <v>37</v>
      </c>
      <c r="T11" s="1" t="s">
        <v>38</v>
      </c>
      <c r="U11">
        <v>2</v>
      </c>
      <c r="V11" t="s">
        <v>34</v>
      </c>
      <c r="W11" t="s">
        <v>34</v>
      </c>
      <c r="X11" t="s">
        <v>30</v>
      </c>
    </row>
    <row r="12" spans="1:25">
      <c r="A12">
        <v>13527</v>
      </c>
      <c r="B12" t="s">
        <v>25</v>
      </c>
      <c r="C12" t="str">
        <f t="shared" si="0"/>
        <v>INTEGRA Saloon</v>
      </c>
      <c r="D12" t="str">
        <f t="shared" si="1"/>
        <v>1.5</v>
      </c>
      <c r="E12" t="s">
        <v>26</v>
      </c>
      <c r="F12">
        <v>198501</v>
      </c>
      <c r="G12">
        <v>199012</v>
      </c>
      <c r="H12">
        <v>63</v>
      </c>
      <c r="I12">
        <v>85</v>
      </c>
      <c r="J12">
        <v>1488</v>
      </c>
      <c r="K12">
        <v>3033801</v>
      </c>
      <c r="L12" t="s">
        <v>33</v>
      </c>
      <c r="M12" t="str">
        <f>"J5114009"</f>
        <v>J5114009</v>
      </c>
      <c r="N12" t="str">
        <f>"J5114009"</f>
        <v>J5114009</v>
      </c>
      <c r="O12" t="str">
        <f>""</f>
        <v/>
      </c>
      <c r="P12" t="s">
        <v>39</v>
      </c>
      <c r="Q12" t="str">
        <f>"8711768068202"</f>
        <v>8711768068202</v>
      </c>
      <c r="R12" t="s">
        <v>40</v>
      </c>
      <c r="T12" s="1" t="s">
        <v>41</v>
      </c>
      <c r="U12">
        <v>4</v>
      </c>
      <c r="V12" t="s">
        <v>39</v>
      </c>
      <c r="W12" t="s">
        <v>39</v>
      </c>
      <c r="X12" t="s">
        <v>39</v>
      </c>
    </row>
    <row r="13" spans="1:25">
      <c r="A13">
        <v>13527</v>
      </c>
      <c r="B13" t="s">
        <v>25</v>
      </c>
      <c r="C13" t="str">
        <f t="shared" si="0"/>
        <v>INTEGRA Saloon</v>
      </c>
      <c r="D13" t="str">
        <f t="shared" si="1"/>
        <v>1.5</v>
      </c>
      <c r="E13" t="s">
        <v>26</v>
      </c>
      <c r="F13">
        <v>198501</v>
      </c>
      <c r="G13">
        <v>199012</v>
      </c>
      <c r="H13">
        <v>63</v>
      </c>
      <c r="I13">
        <v>85</v>
      </c>
      <c r="J13">
        <v>1488</v>
      </c>
      <c r="K13">
        <v>3033803</v>
      </c>
      <c r="L13" t="s">
        <v>33</v>
      </c>
      <c r="M13" t="str">
        <f>"J5114013"</f>
        <v>J5114013</v>
      </c>
      <c r="N13" t="str">
        <f>"J5114013"</f>
        <v>J5114013</v>
      </c>
      <c r="O13" t="str">
        <f>""</f>
        <v/>
      </c>
      <c r="P13" t="s">
        <v>39</v>
      </c>
      <c r="Q13" t="str">
        <f>"8711768068226"</f>
        <v>8711768068226</v>
      </c>
      <c r="R13" t="s">
        <v>42</v>
      </c>
      <c r="T13" s="1" t="s">
        <v>43</v>
      </c>
      <c r="U13">
        <v>4</v>
      </c>
      <c r="V13" t="s">
        <v>39</v>
      </c>
      <c r="W13" t="s">
        <v>39</v>
      </c>
      <c r="X13" t="s">
        <v>39</v>
      </c>
    </row>
    <row r="14" spans="1:25">
      <c r="A14">
        <v>13527</v>
      </c>
      <c r="B14" t="s">
        <v>25</v>
      </c>
      <c r="C14" t="str">
        <f t="shared" si="0"/>
        <v>INTEGRA Saloon</v>
      </c>
      <c r="D14" t="str">
        <f t="shared" si="1"/>
        <v>1.5</v>
      </c>
      <c r="E14" t="s">
        <v>26</v>
      </c>
      <c r="F14">
        <v>198501</v>
      </c>
      <c r="G14">
        <v>199012</v>
      </c>
      <c r="H14">
        <v>63</v>
      </c>
      <c r="I14">
        <v>85</v>
      </c>
      <c r="J14">
        <v>1488</v>
      </c>
      <c r="K14">
        <v>3964051</v>
      </c>
      <c r="L14" t="s">
        <v>27</v>
      </c>
      <c r="M14" t="str">
        <f>"H14520"</f>
        <v>H14520</v>
      </c>
      <c r="N14" t="str">
        <f>"H145-20"</f>
        <v>H145-20</v>
      </c>
      <c r="O14" t="str">
        <f>""</f>
        <v/>
      </c>
      <c r="P14" t="s">
        <v>39</v>
      </c>
      <c r="Q14" t="str">
        <f>""</f>
        <v/>
      </c>
      <c r="R14" t="s">
        <v>44</v>
      </c>
      <c r="T14" s="1" t="s">
        <v>45</v>
      </c>
      <c r="U14">
        <v>4</v>
      </c>
      <c r="V14" t="s">
        <v>39</v>
      </c>
      <c r="W14" t="s">
        <v>39</v>
      </c>
      <c r="X14" t="s">
        <v>39</v>
      </c>
    </row>
    <row r="15" spans="1:25">
      <c r="A15">
        <v>13527</v>
      </c>
      <c r="B15" t="s">
        <v>25</v>
      </c>
      <c r="C15" t="str">
        <f t="shared" si="0"/>
        <v>INTEGRA Saloon</v>
      </c>
      <c r="D15" t="str">
        <f t="shared" si="1"/>
        <v>1.5</v>
      </c>
      <c r="E15" t="s">
        <v>26</v>
      </c>
      <c r="F15">
        <v>198501</v>
      </c>
      <c r="G15">
        <v>199012</v>
      </c>
      <c r="H15">
        <v>63</v>
      </c>
      <c r="I15">
        <v>85</v>
      </c>
      <c r="J15">
        <v>1488</v>
      </c>
      <c r="K15">
        <v>700320</v>
      </c>
      <c r="L15" t="s">
        <v>46</v>
      </c>
      <c r="M15" t="str">
        <f>"AC1001K"</f>
        <v>AC1001K</v>
      </c>
      <c r="N15" t="str">
        <f>"AC1001K"</f>
        <v>AC1001K</v>
      </c>
      <c r="O15" t="str">
        <f>""</f>
        <v/>
      </c>
      <c r="P15" t="s">
        <v>47</v>
      </c>
      <c r="Q15" t="str">
        <f>""</f>
        <v/>
      </c>
      <c r="U15">
        <v>5</v>
      </c>
      <c r="V15" t="s">
        <v>47</v>
      </c>
      <c r="W15" t="s">
        <v>48</v>
      </c>
      <c r="X15" t="s">
        <v>49</v>
      </c>
      <c r="Y15" t="s">
        <v>50</v>
      </c>
    </row>
    <row r="16" spans="1:25">
      <c r="A16">
        <v>13527</v>
      </c>
      <c r="B16" t="s">
        <v>25</v>
      </c>
      <c r="C16" t="str">
        <f t="shared" si="0"/>
        <v>INTEGRA Saloon</v>
      </c>
      <c r="D16" t="str">
        <f t="shared" si="1"/>
        <v>1.5</v>
      </c>
      <c r="E16" t="s">
        <v>26</v>
      </c>
      <c r="F16">
        <v>198501</v>
      </c>
      <c r="G16">
        <v>199012</v>
      </c>
      <c r="H16">
        <v>63</v>
      </c>
      <c r="I16">
        <v>85</v>
      </c>
      <c r="J16">
        <v>1488</v>
      </c>
      <c r="K16">
        <v>700322</v>
      </c>
      <c r="L16" t="s">
        <v>46</v>
      </c>
      <c r="M16" t="str">
        <f>"AC1002K"</f>
        <v>AC1002K</v>
      </c>
      <c r="N16" t="str">
        <f>"AC1002K"</f>
        <v>AC1002K</v>
      </c>
      <c r="O16" t="str">
        <f>""</f>
        <v/>
      </c>
      <c r="P16" t="s">
        <v>47</v>
      </c>
      <c r="Q16" t="str">
        <f>""</f>
        <v/>
      </c>
      <c r="U16">
        <v>5</v>
      </c>
      <c r="V16" t="s">
        <v>47</v>
      </c>
      <c r="W16" t="s">
        <v>48</v>
      </c>
      <c r="X16" t="s">
        <v>49</v>
      </c>
      <c r="Y16" t="s">
        <v>50</v>
      </c>
    </row>
    <row r="17" spans="1:25">
      <c r="A17">
        <v>13527</v>
      </c>
      <c r="B17" t="s">
        <v>25</v>
      </c>
      <c r="C17" t="str">
        <f t="shared" si="0"/>
        <v>INTEGRA Saloon</v>
      </c>
      <c r="D17" t="str">
        <f t="shared" si="1"/>
        <v>1.5</v>
      </c>
      <c r="E17" t="s">
        <v>26</v>
      </c>
      <c r="F17">
        <v>198501</v>
      </c>
      <c r="G17">
        <v>199012</v>
      </c>
      <c r="H17">
        <v>63</v>
      </c>
      <c r="I17">
        <v>85</v>
      </c>
      <c r="J17">
        <v>1488</v>
      </c>
      <c r="K17">
        <v>751200</v>
      </c>
      <c r="L17" t="s">
        <v>51</v>
      </c>
      <c r="M17" t="str">
        <f>"GHO2800K"</f>
        <v>GHO2800K</v>
      </c>
      <c r="N17" t="str">
        <f>"GHO2800K"</f>
        <v>GHO2800K</v>
      </c>
      <c r="O17" t="str">
        <f>""</f>
        <v/>
      </c>
      <c r="P17" t="s">
        <v>47</v>
      </c>
      <c r="Q17" t="str">
        <f>""</f>
        <v/>
      </c>
      <c r="R17" t="s">
        <v>52</v>
      </c>
      <c r="T17" s="1" t="s">
        <v>53</v>
      </c>
      <c r="U17">
        <v>5</v>
      </c>
      <c r="V17" t="s">
        <v>47</v>
      </c>
      <c r="W17" t="s">
        <v>48</v>
      </c>
      <c r="X17" t="s">
        <v>49</v>
      </c>
      <c r="Y17" t="s">
        <v>50</v>
      </c>
    </row>
    <row r="18" spans="1:25">
      <c r="A18">
        <v>13527</v>
      </c>
      <c r="B18" t="s">
        <v>25</v>
      </c>
      <c r="C18" t="str">
        <f t="shared" si="0"/>
        <v>INTEGRA Saloon</v>
      </c>
      <c r="D18" t="str">
        <f t="shared" si="1"/>
        <v>1.5</v>
      </c>
      <c r="E18" t="s">
        <v>26</v>
      </c>
      <c r="F18">
        <v>198501</v>
      </c>
      <c r="G18">
        <v>199012</v>
      </c>
      <c r="H18">
        <v>63</v>
      </c>
      <c r="I18">
        <v>85</v>
      </c>
      <c r="J18">
        <v>1488</v>
      </c>
      <c r="K18">
        <v>3470584</v>
      </c>
      <c r="L18" t="s">
        <v>54</v>
      </c>
      <c r="M18" t="str">
        <f>"J3581"</f>
        <v>J3581</v>
      </c>
      <c r="N18" t="str">
        <f>"J3581"</f>
        <v>J3581</v>
      </c>
      <c r="O18" t="str">
        <f>""</f>
        <v/>
      </c>
      <c r="P18" t="s">
        <v>47</v>
      </c>
      <c r="Q18" t="str">
        <f>"3599771182444"</f>
        <v>3599771182444</v>
      </c>
      <c r="R18" t="s">
        <v>55</v>
      </c>
      <c r="S18" t="s">
        <v>56</v>
      </c>
      <c r="T18" s="1" t="s">
        <v>57</v>
      </c>
      <c r="U18">
        <v>5</v>
      </c>
      <c r="V18" t="s">
        <v>47</v>
      </c>
      <c r="W18" t="s">
        <v>48</v>
      </c>
      <c r="X18" t="s">
        <v>49</v>
      </c>
      <c r="Y18" t="s">
        <v>50</v>
      </c>
    </row>
    <row r="19" spans="1:25">
      <c r="A19">
        <v>13527</v>
      </c>
      <c r="B19" t="s">
        <v>25</v>
      </c>
      <c r="C19" t="str">
        <f t="shared" si="0"/>
        <v>INTEGRA Saloon</v>
      </c>
      <c r="D19" t="str">
        <f t="shared" si="1"/>
        <v>1.5</v>
      </c>
      <c r="E19" t="s">
        <v>26</v>
      </c>
      <c r="F19">
        <v>198501</v>
      </c>
      <c r="G19">
        <v>199012</v>
      </c>
      <c r="H19">
        <v>63</v>
      </c>
      <c r="I19">
        <v>85</v>
      </c>
      <c r="J19">
        <v>1488</v>
      </c>
      <c r="K19">
        <v>3471074</v>
      </c>
      <c r="L19" t="s">
        <v>54</v>
      </c>
      <c r="M19" t="str">
        <f>"J8050"</f>
        <v>J8050</v>
      </c>
      <c r="N19" t="str">
        <f>"J8050"</f>
        <v>J8050</v>
      </c>
      <c r="O19" t="str">
        <f>""</f>
        <v/>
      </c>
      <c r="P19" t="s">
        <v>47</v>
      </c>
      <c r="Q19" t="str">
        <f>"3599771602737"</f>
        <v>3599771602737</v>
      </c>
      <c r="S19" t="s">
        <v>58</v>
      </c>
      <c r="U19">
        <v>5</v>
      </c>
      <c r="V19" t="s">
        <v>47</v>
      </c>
      <c r="W19" t="s">
        <v>48</v>
      </c>
      <c r="X19" t="s">
        <v>49</v>
      </c>
      <c r="Y19" t="s">
        <v>50</v>
      </c>
    </row>
    <row r="20" spans="1:25">
      <c r="A20">
        <v>13527</v>
      </c>
      <c r="B20" t="s">
        <v>25</v>
      </c>
      <c r="C20" t="str">
        <f t="shared" si="0"/>
        <v>INTEGRA Saloon</v>
      </c>
      <c r="D20" t="str">
        <f t="shared" si="1"/>
        <v>1.5</v>
      </c>
      <c r="E20" t="s">
        <v>26</v>
      </c>
      <c r="F20">
        <v>198501</v>
      </c>
      <c r="G20">
        <v>199012</v>
      </c>
      <c r="H20">
        <v>63</v>
      </c>
      <c r="I20">
        <v>85</v>
      </c>
      <c r="J20">
        <v>1488</v>
      </c>
      <c r="K20">
        <v>4528780</v>
      </c>
      <c r="L20" t="s">
        <v>59</v>
      </c>
      <c r="M20" t="str">
        <f>"12040810"</f>
        <v>12040810</v>
      </c>
      <c r="N20" t="str">
        <f>"12-040810"</f>
        <v>12-040810</v>
      </c>
      <c r="O20" t="str">
        <f>""</f>
        <v/>
      </c>
      <c r="P20" t="s">
        <v>47</v>
      </c>
      <c r="Q20" t="str">
        <f>""</f>
        <v/>
      </c>
      <c r="R20" t="s">
        <v>60</v>
      </c>
      <c r="S20" t="s">
        <v>61</v>
      </c>
      <c r="T20" s="1" t="s">
        <v>62</v>
      </c>
      <c r="U20">
        <v>5</v>
      </c>
      <c r="V20" t="s">
        <v>47</v>
      </c>
      <c r="W20" t="s">
        <v>48</v>
      </c>
      <c r="X20" t="s">
        <v>49</v>
      </c>
      <c r="Y20" t="s">
        <v>50</v>
      </c>
    </row>
    <row r="21" spans="1:25">
      <c r="A21">
        <v>13527</v>
      </c>
      <c r="B21" t="s">
        <v>25</v>
      </c>
      <c r="C21" t="str">
        <f t="shared" si="0"/>
        <v>INTEGRA Saloon</v>
      </c>
      <c r="D21" t="str">
        <f t="shared" si="1"/>
        <v>1.5</v>
      </c>
      <c r="E21" t="s">
        <v>26</v>
      </c>
      <c r="F21">
        <v>198501</v>
      </c>
      <c r="G21">
        <v>199012</v>
      </c>
      <c r="H21">
        <v>63</v>
      </c>
      <c r="I21">
        <v>85</v>
      </c>
      <c r="J21">
        <v>1488</v>
      </c>
      <c r="K21">
        <v>4528792</v>
      </c>
      <c r="L21" t="s">
        <v>59</v>
      </c>
      <c r="M21" t="str">
        <f>"12040850"</f>
        <v>12040850</v>
      </c>
      <c r="N21" t="str">
        <f>"12-040850"</f>
        <v>12-040850</v>
      </c>
      <c r="O21" t="str">
        <f>""</f>
        <v/>
      </c>
      <c r="P21" t="s">
        <v>47</v>
      </c>
      <c r="Q21" t="str">
        <f>""</f>
        <v/>
      </c>
      <c r="R21" t="s">
        <v>63</v>
      </c>
      <c r="S21" t="s">
        <v>64</v>
      </c>
      <c r="T21" s="1" t="s">
        <v>65</v>
      </c>
      <c r="U21">
        <v>5</v>
      </c>
      <c r="V21" t="s">
        <v>47</v>
      </c>
      <c r="W21" t="s">
        <v>48</v>
      </c>
      <c r="X21" t="s">
        <v>49</v>
      </c>
      <c r="Y21" t="s">
        <v>50</v>
      </c>
    </row>
    <row r="22" spans="1:25">
      <c r="A22">
        <v>13527</v>
      </c>
      <c r="B22" t="s">
        <v>25</v>
      </c>
      <c r="C22" t="str">
        <f t="shared" si="0"/>
        <v>INTEGRA Saloon</v>
      </c>
      <c r="D22" t="str">
        <f t="shared" si="1"/>
        <v>1.5</v>
      </c>
      <c r="E22" t="s">
        <v>26</v>
      </c>
      <c r="F22">
        <v>198501</v>
      </c>
      <c r="G22">
        <v>199012</v>
      </c>
      <c r="H22">
        <v>63</v>
      </c>
      <c r="I22">
        <v>85</v>
      </c>
      <c r="J22">
        <v>1488</v>
      </c>
      <c r="K22">
        <v>1278114</v>
      </c>
      <c r="L22" t="s">
        <v>66</v>
      </c>
      <c r="M22" t="str">
        <f>"586021"</f>
        <v>586021</v>
      </c>
      <c r="N22" t="str">
        <f>"586021"</f>
        <v>586021</v>
      </c>
      <c r="O22" t="str">
        <f>""</f>
        <v/>
      </c>
      <c r="P22" t="s">
        <v>67</v>
      </c>
      <c r="Q22" t="str">
        <f>"3276425860216"</f>
        <v>3276425860216</v>
      </c>
      <c r="R22" t="s">
        <v>68</v>
      </c>
      <c r="T22" s="1" t="s">
        <v>69</v>
      </c>
      <c r="U22">
        <v>7</v>
      </c>
      <c r="V22" t="s">
        <v>67</v>
      </c>
      <c r="W22" t="s">
        <v>70</v>
      </c>
      <c r="X22" t="s">
        <v>71</v>
      </c>
      <c r="Y22" t="s">
        <v>72</v>
      </c>
    </row>
    <row r="23" spans="1:25">
      <c r="A23">
        <v>13527</v>
      </c>
      <c r="B23" t="s">
        <v>25</v>
      </c>
      <c r="C23" t="str">
        <f t="shared" si="0"/>
        <v>INTEGRA Saloon</v>
      </c>
      <c r="D23" t="str">
        <f t="shared" si="1"/>
        <v>1.5</v>
      </c>
      <c r="E23" t="s">
        <v>26</v>
      </c>
      <c r="F23">
        <v>198501</v>
      </c>
      <c r="G23">
        <v>199012</v>
      </c>
      <c r="H23">
        <v>63</v>
      </c>
      <c r="I23">
        <v>85</v>
      </c>
      <c r="J23">
        <v>1488</v>
      </c>
      <c r="K23">
        <v>1540045</v>
      </c>
      <c r="L23" t="s">
        <v>73</v>
      </c>
      <c r="M23" t="str">
        <f>"OC617"</f>
        <v>OC617</v>
      </c>
      <c r="N23" t="str">
        <f>"OC 617"</f>
        <v>OC 617</v>
      </c>
      <c r="O23" t="str">
        <f>"70384190"</f>
        <v>70384190</v>
      </c>
      <c r="P23" t="s">
        <v>67</v>
      </c>
      <c r="Q23" t="str">
        <f>"4009026719664"</f>
        <v>4009026719664</v>
      </c>
      <c r="R23" t="s">
        <v>74</v>
      </c>
      <c r="S23" t="s">
        <v>75</v>
      </c>
      <c r="T23" s="1" t="s">
        <v>76</v>
      </c>
      <c r="U23">
        <v>7</v>
      </c>
      <c r="V23" t="s">
        <v>67</v>
      </c>
      <c r="W23" t="s">
        <v>70</v>
      </c>
      <c r="X23" t="s">
        <v>71</v>
      </c>
      <c r="Y23" t="s">
        <v>72</v>
      </c>
    </row>
    <row r="24" spans="1:25">
      <c r="A24">
        <v>13527</v>
      </c>
      <c r="B24" t="s">
        <v>25</v>
      </c>
      <c r="C24" t="str">
        <f t="shared" si="0"/>
        <v>INTEGRA Saloon</v>
      </c>
      <c r="D24" t="str">
        <f t="shared" si="1"/>
        <v>1.5</v>
      </c>
      <c r="E24" t="s">
        <v>26</v>
      </c>
      <c r="F24">
        <v>198501</v>
      </c>
      <c r="G24">
        <v>199012</v>
      </c>
      <c r="H24">
        <v>63</v>
      </c>
      <c r="I24">
        <v>85</v>
      </c>
      <c r="J24">
        <v>1488</v>
      </c>
      <c r="K24">
        <v>1540057</v>
      </c>
      <c r="L24" t="s">
        <v>73</v>
      </c>
      <c r="M24" t="str">
        <f>"OC77"</f>
        <v>OC77</v>
      </c>
      <c r="N24" t="str">
        <f>"OC 77"</f>
        <v>OC 77</v>
      </c>
      <c r="O24" t="str">
        <f>"77021264"</f>
        <v>77021264</v>
      </c>
      <c r="P24" t="s">
        <v>67</v>
      </c>
      <c r="Q24" t="str">
        <f>"4009026032701"</f>
        <v>4009026032701</v>
      </c>
      <c r="R24" t="s">
        <v>77</v>
      </c>
      <c r="S24" t="s">
        <v>78</v>
      </c>
      <c r="T24" s="1" t="s">
        <v>79</v>
      </c>
      <c r="U24">
        <v>7</v>
      </c>
      <c r="V24" t="s">
        <v>67</v>
      </c>
      <c r="W24" t="s">
        <v>70</v>
      </c>
      <c r="X24" t="s">
        <v>71</v>
      </c>
      <c r="Y24" t="s">
        <v>72</v>
      </c>
    </row>
    <row r="25" spans="1:25">
      <c r="A25">
        <v>13527</v>
      </c>
      <c r="B25" t="s">
        <v>25</v>
      </c>
      <c r="C25" t="str">
        <f t="shared" si="0"/>
        <v>INTEGRA Saloon</v>
      </c>
      <c r="D25" t="str">
        <f t="shared" si="1"/>
        <v>1.5</v>
      </c>
      <c r="E25" t="s">
        <v>26</v>
      </c>
      <c r="F25">
        <v>198501</v>
      </c>
      <c r="G25">
        <v>199012</v>
      </c>
      <c r="H25">
        <v>63</v>
      </c>
      <c r="I25">
        <v>85</v>
      </c>
      <c r="J25">
        <v>1488</v>
      </c>
      <c r="K25">
        <v>1625937</v>
      </c>
      <c r="L25" t="s">
        <v>80</v>
      </c>
      <c r="M25" t="str">
        <f>"LS350"</f>
        <v>LS350</v>
      </c>
      <c r="N25" t="str">
        <f>"LS350"</f>
        <v>LS350</v>
      </c>
      <c r="O25" t="str">
        <f>""</f>
        <v/>
      </c>
      <c r="P25" t="s">
        <v>67</v>
      </c>
      <c r="Q25" t="str">
        <f>"3286064049903"</f>
        <v>3286064049903</v>
      </c>
      <c r="R25" t="s">
        <v>81</v>
      </c>
      <c r="S25" t="s">
        <v>75</v>
      </c>
      <c r="T25" s="1" t="s">
        <v>82</v>
      </c>
      <c r="U25">
        <v>7</v>
      </c>
      <c r="V25" t="s">
        <v>67</v>
      </c>
      <c r="W25" t="s">
        <v>70</v>
      </c>
      <c r="X25" t="s">
        <v>71</v>
      </c>
      <c r="Y25" t="s">
        <v>72</v>
      </c>
    </row>
    <row r="26" spans="1:25">
      <c r="A26">
        <v>13527</v>
      </c>
      <c r="B26" t="s">
        <v>25</v>
      </c>
      <c r="C26" t="str">
        <f t="shared" si="0"/>
        <v>INTEGRA Saloon</v>
      </c>
      <c r="D26" t="str">
        <f t="shared" si="1"/>
        <v>1.5</v>
      </c>
      <c r="E26" t="s">
        <v>26</v>
      </c>
      <c r="F26">
        <v>198501</v>
      </c>
      <c r="G26">
        <v>199012</v>
      </c>
      <c r="H26">
        <v>63</v>
      </c>
      <c r="I26">
        <v>85</v>
      </c>
      <c r="J26">
        <v>1488</v>
      </c>
      <c r="K26">
        <v>1669763</v>
      </c>
      <c r="L26" t="s">
        <v>83</v>
      </c>
      <c r="M26" t="str">
        <f>"COF102126S"</f>
        <v>COF102126S</v>
      </c>
      <c r="N26" t="str">
        <f>"COF102126S"</f>
        <v>COF102126S</v>
      </c>
      <c r="O26" t="str">
        <f>"COF102126S"</f>
        <v>COF102126S</v>
      </c>
      <c r="P26" t="s">
        <v>67</v>
      </c>
      <c r="Q26" t="str">
        <f>"4044197776986"</f>
        <v>4044197776986</v>
      </c>
      <c r="R26" t="s">
        <v>84</v>
      </c>
      <c r="T26" s="1" t="s">
        <v>85</v>
      </c>
      <c r="U26">
        <v>7</v>
      </c>
      <c r="V26" t="s">
        <v>67</v>
      </c>
      <c r="W26" t="s">
        <v>70</v>
      </c>
      <c r="X26" t="s">
        <v>71</v>
      </c>
      <c r="Y26" t="s">
        <v>72</v>
      </c>
    </row>
    <row r="27" spans="1:25">
      <c r="A27">
        <v>13527</v>
      </c>
      <c r="B27" t="s">
        <v>25</v>
      </c>
      <c r="C27" t="str">
        <f t="shared" si="0"/>
        <v>INTEGRA Saloon</v>
      </c>
      <c r="D27" t="str">
        <f t="shared" si="1"/>
        <v>1.5</v>
      </c>
      <c r="E27" t="s">
        <v>26</v>
      </c>
      <c r="F27">
        <v>198501</v>
      </c>
      <c r="G27">
        <v>199012</v>
      </c>
      <c r="H27">
        <v>63</v>
      </c>
      <c r="I27">
        <v>85</v>
      </c>
      <c r="J27">
        <v>1488</v>
      </c>
      <c r="K27">
        <v>1669798</v>
      </c>
      <c r="L27" t="s">
        <v>83</v>
      </c>
      <c r="M27" t="str">
        <f>"E101606"</f>
        <v>E101606</v>
      </c>
      <c r="N27" t="str">
        <f>"E101/606"</f>
        <v>E101/606</v>
      </c>
      <c r="O27" t="str">
        <f>"E101"</f>
        <v>E101</v>
      </c>
      <c r="P27" t="s">
        <v>67</v>
      </c>
      <c r="Q27" t="str">
        <f>"5010874200319"</f>
        <v>5010874200319</v>
      </c>
      <c r="R27" t="s">
        <v>86</v>
      </c>
      <c r="T27" s="1" t="s">
        <v>87</v>
      </c>
      <c r="U27">
        <v>7</v>
      </c>
      <c r="V27" t="s">
        <v>67</v>
      </c>
      <c r="W27" t="s">
        <v>70</v>
      </c>
      <c r="X27" t="s">
        <v>71</v>
      </c>
      <c r="Y27" t="s">
        <v>72</v>
      </c>
    </row>
    <row r="28" spans="1:25">
      <c r="A28">
        <v>13527</v>
      </c>
      <c r="B28" t="s">
        <v>25</v>
      </c>
      <c r="C28" t="str">
        <f t="shared" si="0"/>
        <v>INTEGRA Saloon</v>
      </c>
      <c r="D28" t="str">
        <f t="shared" si="1"/>
        <v>1.5</v>
      </c>
      <c r="E28" t="s">
        <v>26</v>
      </c>
      <c r="F28">
        <v>198501</v>
      </c>
      <c r="G28">
        <v>199012</v>
      </c>
      <c r="H28">
        <v>63</v>
      </c>
      <c r="I28">
        <v>85</v>
      </c>
      <c r="J28">
        <v>1488</v>
      </c>
      <c r="K28">
        <v>1669908</v>
      </c>
      <c r="L28" t="s">
        <v>83</v>
      </c>
      <c r="M28" t="str">
        <f>"F126606"</f>
        <v>F126606</v>
      </c>
      <c r="N28" t="str">
        <f>"F126/606"</f>
        <v>F126/606</v>
      </c>
      <c r="O28" t="str">
        <f>"F126"</f>
        <v>F126</v>
      </c>
      <c r="P28" t="s">
        <v>67</v>
      </c>
      <c r="Q28" t="str">
        <f>"5010874205260"</f>
        <v>5010874205260</v>
      </c>
      <c r="R28" t="s">
        <v>84</v>
      </c>
      <c r="T28" s="1" t="s">
        <v>88</v>
      </c>
      <c r="U28">
        <v>7</v>
      </c>
      <c r="V28" t="s">
        <v>67</v>
      </c>
      <c r="W28" t="s">
        <v>70</v>
      </c>
      <c r="X28" t="s">
        <v>71</v>
      </c>
      <c r="Y28" t="s">
        <v>72</v>
      </c>
    </row>
    <row r="29" spans="1:25">
      <c r="A29">
        <v>13527</v>
      </c>
      <c r="B29" t="s">
        <v>25</v>
      </c>
      <c r="C29" t="str">
        <f t="shared" si="0"/>
        <v>INTEGRA Saloon</v>
      </c>
      <c r="D29" t="str">
        <f t="shared" si="1"/>
        <v>1.5</v>
      </c>
      <c r="E29" t="s">
        <v>26</v>
      </c>
      <c r="F29">
        <v>198501</v>
      </c>
      <c r="G29">
        <v>199012</v>
      </c>
      <c r="H29">
        <v>63</v>
      </c>
      <c r="I29">
        <v>85</v>
      </c>
      <c r="J29">
        <v>1488</v>
      </c>
      <c r="K29">
        <v>1801805</v>
      </c>
      <c r="L29" t="s">
        <v>89</v>
      </c>
      <c r="M29" t="str">
        <f>"PH5317"</f>
        <v>PH5317</v>
      </c>
      <c r="N29" t="str">
        <f>"PH5317"</f>
        <v>PH5317</v>
      </c>
      <c r="O29" t="str">
        <f>""</f>
        <v/>
      </c>
      <c r="P29" t="s">
        <v>67</v>
      </c>
      <c r="Q29" t="str">
        <f>"5022650203254"</f>
        <v>5022650203254</v>
      </c>
      <c r="R29" t="s">
        <v>90</v>
      </c>
      <c r="S29" t="s">
        <v>75</v>
      </c>
      <c r="T29" s="1" t="s">
        <v>91</v>
      </c>
      <c r="U29">
        <v>7</v>
      </c>
      <c r="V29" t="s">
        <v>67</v>
      </c>
      <c r="W29" t="s">
        <v>70</v>
      </c>
      <c r="X29" t="s">
        <v>71</v>
      </c>
      <c r="Y29" t="s">
        <v>72</v>
      </c>
    </row>
    <row r="30" spans="1:25">
      <c r="A30">
        <v>13527</v>
      </c>
      <c r="B30" t="s">
        <v>25</v>
      </c>
      <c r="C30" t="str">
        <f t="shared" si="0"/>
        <v>INTEGRA Saloon</v>
      </c>
      <c r="D30" t="str">
        <f t="shared" si="1"/>
        <v>1.5</v>
      </c>
      <c r="E30" t="s">
        <v>26</v>
      </c>
      <c r="F30">
        <v>198501</v>
      </c>
      <c r="G30">
        <v>199012</v>
      </c>
      <c r="H30">
        <v>63</v>
      </c>
      <c r="I30">
        <v>85</v>
      </c>
      <c r="J30">
        <v>1488</v>
      </c>
      <c r="K30">
        <v>2050022</v>
      </c>
      <c r="L30" t="s">
        <v>92</v>
      </c>
      <c r="M30" t="str">
        <f>"R198"</f>
        <v>R198</v>
      </c>
      <c r="N30" t="str">
        <f>"R198"</f>
        <v>R198</v>
      </c>
      <c r="O30" t="str">
        <f>""</f>
        <v/>
      </c>
      <c r="P30" t="s">
        <v>67</v>
      </c>
      <c r="Q30" t="str">
        <f>"8017265151981"</f>
        <v>8017265151981</v>
      </c>
      <c r="R30" t="s">
        <v>93</v>
      </c>
      <c r="S30" t="s">
        <v>75</v>
      </c>
      <c r="T30" s="1" t="s">
        <v>94</v>
      </c>
      <c r="U30">
        <v>7</v>
      </c>
      <c r="V30" t="s">
        <v>67</v>
      </c>
      <c r="W30" t="s">
        <v>70</v>
      </c>
      <c r="X30" t="s">
        <v>71</v>
      </c>
      <c r="Y30" t="s">
        <v>72</v>
      </c>
    </row>
    <row r="31" spans="1:25">
      <c r="A31">
        <v>13527</v>
      </c>
      <c r="B31" t="s">
        <v>25</v>
      </c>
      <c r="C31" t="str">
        <f t="shared" si="0"/>
        <v>INTEGRA Saloon</v>
      </c>
      <c r="D31" t="str">
        <f t="shared" si="1"/>
        <v>1.5</v>
      </c>
      <c r="E31" t="s">
        <v>26</v>
      </c>
      <c r="F31">
        <v>198501</v>
      </c>
      <c r="G31">
        <v>199012</v>
      </c>
      <c r="H31">
        <v>63</v>
      </c>
      <c r="I31">
        <v>85</v>
      </c>
      <c r="J31">
        <v>1488</v>
      </c>
      <c r="K31">
        <v>2084292</v>
      </c>
      <c r="L31" t="s">
        <v>95</v>
      </c>
      <c r="M31" t="str">
        <f>"150180009600"</f>
        <v>150180009600</v>
      </c>
      <c r="N31" t="str">
        <f>"150180009600"</f>
        <v>150180009600</v>
      </c>
      <c r="O31" t="str">
        <f>"R96"</f>
        <v>R96</v>
      </c>
      <c r="P31" t="s">
        <v>67</v>
      </c>
      <c r="Q31" t="str">
        <f>"8017265150960"</f>
        <v>8017265150960</v>
      </c>
      <c r="R31" t="s">
        <v>96</v>
      </c>
      <c r="S31" t="s">
        <v>97</v>
      </c>
      <c r="T31" s="1" t="s">
        <v>98</v>
      </c>
      <c r="U31">
        <v>7</v>
      </c>
      <c r="V31" t="s">
        <v>67</v>
      </c>
      <c r="W31" t="s">
        <v>70</v>
      </c>
      <c r="X31" t="s">
        <v>71</v>
      </c>
      <c r="Y31" t="s">
        <v>72</v>
      </c>
    </row>
    <row r="32" spans="1:25">
      <c r="A32">
        <v>13527</v>
      </c>
      <c r="B32" t="s">
        <v>25</v>
      </c>
      <c r="C32" t="str">
        <f t="shared" si="0"/>
        <v>INTEGRA Saloon</v>
      </c>
      <c r="D32" t="str">
        <f t="shared" si="1"/>
        <v>1.5</v>
      </c>
      <c r="E32" t="s">
        <v>26</v>
      </c>
      <c r="F32">
        <v>198501</v>
      </c>
      <c r="G32">
        <v>199012</v>
      </c>
      <c r="H32">
        <v>63</v>
      </c>
      <c r="I32">
        <v>85</v>
      </c>
      <c r="J32">
        <v>1488</v>
      </c>
      <c r="K32">
        <v>2084378</v>
      </c>
      <c r="L32" t="s">
        <v>95</v>
      </c>
      <c r="M32" t="str">
        <f>"150180042800"</f>
        <v>150180042800</v>
      </c>
      <c r="N32" t="str">
        <f>"150180042800"</f>
        <v>150180042800</v>
      </c>
      <c r="O32" t="str">
        <f>"R428"</f>
        <v>R428</v>
      </c>
      <c r="P32" t="s">
        <v>67</v>
      </c>
      <c r="Q32" t="str">
        <f>"8017265154289"</f>
        <v>8017265154289</v>
      </c>
      <c r="S32" t="s">
        <v>99</v>
      </c>
      <c r="T32" s="1" t="s">
        <v>100</v>
      </c>
      <c r="U32">
        <v>7</v>
      </c>
      <c r="V32" t="s">
        <v>67</v>
      </c>
      <c r="W32" t="s">
        <v>70</v>
      </c>
      <c r="X32" t="s">
        <v>71</v>
      </c>
      <c r="Y32" t="s">
        <v>72</v>
      </c>
    </row>
    <row r="33" spans="1:25">
      <c r="A33">
        <v>13527</v>
      </c>
      <c r="B33" t="s">
        <v>25</v>
      </c>
      <c r="C33" t="str">
        <f t="shared" si="0"/>
        <v>INTEGRA Saloon</v>
      </c>
      <c r="D33" t="str">
        <f t="shared" si="1"/>
        <v>1.5</v>
      </c>
      <c r="E33" t="s">
        <v>26</v>
      </c>
      <c r="F33">
        <v>198501</v>
      </c>
      <c r="G33">
        <v>199012</v>
      </c>
      <c r="H33">
        <v>63</v>
      </c>
      <c r="I33">
        <v>85</v>
      </c>
      <c r="J33">
        <v>1488</v>
      </c>
      <c r="K33">
        <v>2088169</v>
      </c>
      <c r="L33" t="s">
        <v>95</v>
      </c>
      <c r="M33" t="str">
        <f>"154086363180"</f>
        <v>154086363180</v>
      </c>
      <c r="N33" t="str">
        <f>"154086363180"</f>
        <v>154086363180</v>
      </c>
      <c r="O33" t="str">
        <f>"OC194"</f>
        <v>OC194</v>
      </c>
      <c r="P33" t="s">
        <v>67</v>
      </c>
      <c r="Q33" t="str">
        <f>"4009026015698"</f>
        <v>4009026015698</v>
      </c>
      <c r="R33" t="s">
        <v>101</v>
      </c>
      <c r="S33" t="s">
        <v>102</v>
      </c>
      <c r="T33" s="1" t="s">
        <v>103</v>
      </c>
      <c r="U33">
        <v>7</v>
      </c>
      <c r="V33" t="s">
        <v>67</v>
      </c>
      <c r="W33" t="s">
        <v>70</v>
      </c>
      <c r="X33" t="s">
        <v>71</v>
      </c>
      <c r="Y33" t="s">
        <v>72</v>
      </c>
    </row>
    <row r="34" spans="1:25">
      <c r="A34">
        <v>13527</v>
      </c>
      <c r="B34" t="s">
        <v>25</v>
      </c>
      <c r="C34" t="str">
        <f t="shared" si="0"/>
        <v>INTEGRA Saloon</v>
      </c>
      <c r="D34" t="str">
        <f t="shared" si="1"/>
        <v>1.5</v>
      </c>
      <c r="E34" t="s">
        <v>26</v>
      </c>
      <c r="F34">
        <v>198501</v>
      </c>
      <c r="G34">
        <v>199012</v>
      </c>
      <c r="H34">
        <v>63</v>
      </c>
      <c r="I34">
        <v>85</v>
      </c>
      <c r="J34">
        <v>1488</v>
      </c>
      <c r="K34">
        <v>2089085</v>
      </c>
      <c r="L34" t="s">
        <v>95</v>
      </c>
      <c r="M34" t="str">
        <f>"154703819530"</f>
        <v>154703819530</v>
      </c>
      <c r="N34" t="str">
        <f>"154703819530"</f>
        <v>154703819530</v>
      </c>
      <c r="O34" t="str">
        <f>"OC606"</f>
        <v>OC606</v>
      </c>
      <c r="P34" t="s">
        <v>67</v>
      </c>
      <c r="Q34" t="str">
        <f>"4009026718643"</f>
        <v>4009026718643</v>
      </c>
      <c r="R34" t="s">
        <v>104</v>
      </c>
      <c r="S34" t="s">
        <v>102</v>
      </c>
      <c r="T34" s="1" t="s">
        <v>105</v>
      </c>
      <c r="U34">
        <v>7</v>
      </c>
      <c r="V34" t="s">
        <v>67</v>
      </c>
      <c r="W34" t="s">
        <v>70</v>
      </c>
      <c r="X34" t="s">
        <v>71</v>
      </c>
      <c r="Y34" t="s">
        <v>72</v>
      </c>
    </row>
    <row r="35" spans="1:25">
      <c r="A35">
        <v>13527</v>
      </c>
      <c r="B35" t="s">
        <v>25</v>
      </c>
      <c r="C35" t="str">
        <f t="shared" si="0"/>
        <v>INTEGRA Saloon</v>
      </c>
      <c r="D35" t="str">
        <f t="shared" si="1"/>
        <v>1.5</v>
      </c>
      <c r="E35" t="s">
        <v>26</v>
      </c>
      <c r="F35">
        <v>198501</v>
      </c>
      <c r="G35">
        <v>199012</v>
      </c>
      <c r="H35">
        <v>63</v>
      </c>
      <c r="I35">
        <v>85</v>
      </c>
      <c r="J35">
        <v>1488</v>
      </c>
      <c r="K35">
        <v>2643130</v>
      </c>
      <c r="L35" t="s">
        <v>106</v>
      </c>
      <c r="M35" t="str">
        <f>"V250058"</f>
        <v>V250058</v>
      </c>
      <c r="N35" t="str">
        <f>"V25-0058"</f>
        <v>V25-0058</v>
      </c>
      <c r="O35" t="str">
        <f>""</f>
        <v/>
      </c>
      <c r="P35" t="s">
        <v>67</v>
      </c>
      <c r="Q35" t="str">
        <f>"4046001288111"</f>
        <v>4046001288111</v>
      </c>
      <c r="R35" s="1" t="s">
        <v>107</v>
      </c>
      <c r="T35" s="1" t="s">
        <v>108</v>
      </c>
      <c r="U35">
        <v>7</v>
      </c>
      <c r="V35" t="s">
        <v>67</v>
      </c>
      <c r="W35" t="s">
        <v>70</v>
      </c>
      <c r="X35" t="s">
        <v>71</v>
      </c>
      <c r="Y35" t="s">
        <v>72</v>
      </c>
    </row>
    <row r="36" spans="1:25">
      <c r="A36">
        <v>13527</v>
      </c>
      <c r="B36" t="s">
        <v>25</v>
      </c>
      <c r="C36" t="str">
        <f t="shared" si="0"/>
        <v>INTEGRA Saloon</v>
      </c>
      <c r="D36" t="str">
        <f t="shared" si="1"/>
        <v>1.5</v>
      </c>
      <c r="E36" t="s">
        <v>26</v>
      </c>
      <c r="F36">
        <v>198501</v>
      </c>
      <c r="G36">
        <v>199012</v>
      </c>
      <c r="H36">
        <v>63</v>
      </c>
      <c r="I36">
        <v>85</v>
      </c>
      <c r="J36">
        <v>1488</v>
      </c>
      <c r="K36">
        <v>2652645</v>
      </c>
      <c r="L36" t="s">
        <v>109</v>
      </c>
      <c r="M36" t="str">
        <f>"DO340"</f>
        <v>DO340</v>
      </c>
      <c r="N36" t="str">
        <f>"DO 340"</f>
        <v>DO 340</v>
      </c>
      <c r="O36" t="str">
        <f>""</f>
        <v/>
      </c>
      <c r="P36" t="s">
        <v>67</v>
      </c>
      <c r="Q36" t="str">
        <f>"8010042340004"</f>
        <v>8010042340004</v>
      </c>
      <c r="R36" t="s">
        <v>110</v>
      </c>
      <c r="S36" t="s">
        <v>78</v>
      </c>
      <c r="T36" s="1" t="s">
        <v>111</v>
      </c>
      <c r="U36">
        <v>7</v>
      </c>
      <c r="V36" t="s">
        <v>67</v>
      </c>
      <c r="W36" t="s">
        <v>70</v>
      </c>
      <c r="X36" t="s">
        <v>71</v>
      </c>
      <c r="Y36" t="s">
        <v>72</v>
      </c>
    </row>
    <row r="37" spans="1:25">
      <c r="A37">
        <v>13527</v>
      </c>
      <c r="B37" t="s">
        <v>25</v>
      </c>
      <c r="C37" t="str">
        <f t="shared" si="0"/>
        <v>INTEGRA Saloon</v>
      </c>
      <c r="D37" t="str">
        <f t="shared" si="1"/>
        <v>1.5</v>
      </c>
      <c r="E37" t="s">
        <v>26</v>
      </c>
      <c r="F37">
        <v>198501</v>
      </c>
      <c r="G37">
        <v>199012</v>
      </c>
      <c r="H37">
        <v>63</v>
      </c>
      <c r="I37">
        <v>85</v>
      </c>
      <c r="J37">
        <v>1488</v>
      </c>
      <c r="K37">
        <v>3026393</v>
      </c>
      <c r="L37" t="s">
        <v>33</v>
      </c>
      <c r="M37" t="str">
        <f>"J1314002"</f>
        <v>J1314002</v>
      </c>
      <c r="N37" t="str">
        <f>"J1314002"</f>
        <v>J1314002</v>
      </c>
      <c r="O37" t="str">
        <f>""</f>
        <v/>
      </c>
      <c r="P37" t="s">
        <v>67</v>
      </c>
      <c r="Q37" t="str">
        <f>"8711768032173"</f>
        <v>8711768032173</v>
      </c>
      <c r="R37" t="s">
        <v>112</v>
      </c>
      <c r="T37" s="1" t="s">
        <v>113</v>
      </c>
      <c r="U37">
        <v>7</v>
      </c>
      <c r="V37" t="s">
        <v>67</v>
      </c>
      <c r="W37" t="s">
        <v>70</v>
      </c>
      <c r="X37" t="s">
        <v>71</v>
      </c>
      <c r="Y37" t="s">
        <v>72</v>
      </c>
    </row>
    <row r="38" spans="1:25">
      <c r="A38">
        <v>13527</v>
      </c>
      <c r="B38" t="s">
        <v>25</v>
      </c>
      <c r="C38" t="str">
        <f t="shared" si="0"/>
        <v>INTEGRA Saloon</v>
      </c>
      <c r="D38" t="str">
        <f t="shared" si="1"/>
        <v>1.5</v>
      </c>
      <c r="E38" t="s">
        <v>26</v>
      </c>
      <c r="F38">
        <v>198501</v>
      </c>
      <c r="G38">
        <v>199012</v>
      </c>
      <c r="H38">
        <v>63</v>
      </c>
      <c r="I38">
        <v>85</v>
      </c>
      <c r="J38">
        <v>1488</v>
      </c>
      <c r="K38">
        <v>3026395</v>
      </c>
      <c r="L38" t="s">
        <v>33</v>
      </c>
      <c r="M38" t="str">
        <f>"J1314010"</f>
        <v>J1314010</v>
      </c>
      <c r="N38" t="str">
        <f>"J1314010"</f>
        <v>J1314010</v>
      </c>
      <c r="O38" t="str">
        <f>""</f>
        <v/>
      </c>
      <c r="P38" t="s">
        <v>67</v>
      </c>
      <c r="Q38" t="str">
        <f>"8711768032197"</f>
        <v>8711768032197</v>
      </c>
      <c r="R38" t="s">
        <v>114</v>
      </c>
      <c r="S38" t="s">
        <v>75</v>
      </c>
      <c r="T38" s="1" t="s">
        <v>115</v>
      </c>
      <c r="U38">
        <v>7</v>
      </c>
      <c r="V38" t="s">
        <v>67</v>
      </c>
      <c r="W38" t="s">
        <v>70</v>
      </c>
      <c r="X38" t="s">
        <v>71</v>
      </c>
      <c r="Y38" t="s">
        <v>72</v>
      </c>
    </row>
    <row r="39" spans="1:25">
      <c r="A39">
        <v>13527</v>
      </c>
      <c r="B39" t="s">
        <v>25</v>
      </c>
      <c r="C39" t="str">
        <f t="shared" si="0"/>
        <v>INTEGRA Saloon</v>
      </c>
      <c r="D39" t="str">
        <f t="shared" si="1"/>
        <v>1.5</v>
      </c>
      <c r="E39" t="s">
        <v>26</v>
      </c>
      <c r="F39">
        <v>198501</v>
      </c>
      <c r="G39">
        <v>199012</v>
      </c>
      <c r="H39">
        <v>63</v>
      </c>
      <c r="I39">
        <v>85</v>
      </c>
      <c r="J39">
        <v>1488</v>
      </c>
      <c r="K39">
        <v>3280802</v>
      </c>
      <c r="L39" t="s">
        <v>116</v>
      </c>
      <c r="M39" t="str">
        <f>"OC617"</f>
        <v>OC617</v>
      </c>
      <c r="N39" t="str">
        <f>"OC 617"</f>
        <v>OC 617</v>
      </c>
      <c r="O39" t="str">
        <f>"70384191"</f>
        <v>70384191</v>
      </c>
      <c r="P39" t="s">
        <v>67</v>
      </c>
      <c r="Q39" t="str">
        <f>"4009026719664"</f>
        <v>4009026719664</v>
      </c>
      <c r="R39" t="s">
        <v>74</v>
      </c>
      <c r="S39" t="s">
        <v>75</v>
      </c>
      <c r="T39" s="1" t="s">
        <v>76</v>
      </c>
      <c r="U39">
        <v>7</v>
      </c>
      <c r="V39" t="s">
        <v>67</v>
      </c>
      <c r="W39" t="s">
        <v>70</v>
      </c>
      <c r="X39" t="s">
        <v>71</v>
      </c>
      <c r="Y39" t="s">
        <v>72</v>
      </c>
    </row>
    <row r="40" spans="1:25">
      <c r="A40">
        <v>13527</v>
      </c>
      <c r="B40" t="s">
        <v>25</v>
      </c>
      <c r="C40" t="str">
        <f t="shared" si="0"/>
        <v>INTEGRA Saloon</v>
      </c>
      <c r="D40" t="str">
        <f t="shared" si="1"/>
        <v>1.5</v>
      </c>
      <c r="E40" t="s">
        <v>26</v>
      </c>
      <c r="F40">
        <v>198501</v>
      </c>
      <c r="G40">
        <v>199012</v>
      </c>
      <c r="H40">
        <v>63</v>
      </c>
      <c r="I40">
        <v>85</v>
      </c>
      <c r="J40">
        <v>1488</v>
      </c>
      <c r="K40">
        <v>3280819</v>
      </c>
      <c r="L40" t="s">
        <v>116</v>
      </c>
      <c r="M40" t="str">
        <f>"OC77"</f>
        <v>OC77</v>
      </c>
      <c r="N40" t="str">
        <f>"OC 77"</f>
        <v>OC 77</v>
      </c>
      <c r="O40" t="str">
        <f>"77021272"</f>
        <v>77021272</v>
      </c>
      <c r="P40" t="s">
        <v>67</v>
      </c>
      <c r="Q40" t="str">
        <f>"4009026032701"</f>
        <v>4009026032701</v>
      </c>
      <c r="R40" t="s">
        <v>77</v>
      </c>
      <c r="S40" t="s">
        <v>78</v>
      </c>
      <c r="T40" s="1" t="s">
        <v>79</v>
      </c>
      <c r="U40">
        <v>7</v>
      </c>
      <c r="V40" t="s">
        <v>67</v>
      </c>
      <c r="W40" t="s">
        <v>70</v>
      </c>
      <c r="X40" t="s">
        <v>71</v>
      </c>
      <c r="Y40" t="s">
        <v>72</v>
      </c>
    </row>
    <row r="41" spans="1:25">
      <c r="A41">
        <v>13527</v>
      </c>
      <c r="B41" t="s">
        <v>25</v>
      </c>
      <c r="C41" t="str">
        <f t="shared" si="0"/>
        <v>INTEGRA Saloon</v>
      </c>
      <c r="D41" t="str">
        <f t="shared" si="1"/>
        <v>1.5</v>
      </c>
      <c r="E41" t="s">
        <v>26</v>
      </c>
      <c r="F41">
        <v>198501</v>
      </c>
      <c r="G41">
        <v>199012</v>
      </c>
      <c r="H41">
        <v>63</v>
      </c>
      <c r="I41">
        <v>85</v>
      </c>
      <c r="J41">
        <v>1488</v>
      </c>
      <c r="K41">
        <v>3284778</v>
      </c>
      <c r="L41" t="s">
        <v>117</v>
      </c>
      <c r="M41" t="str">
        <f>"BC1377"</f>
        <v>BC1377</v>
      </c>
      <c r="N41" t="str">
        <f>"BC-1377"</f>
        <v>BC-1377</v>
      </c>
      <c r="O41" t="str">
        <f>""</f>
        <v/>
      </c>
      <c r="P41" t="s">
        <v>67</v>
      </c>
      <c r="Q41" t="str">
        <f>"8430298437707"</f>
        <v>8430298437707</v>
      </c>
      <c r="R41" t="s">
        <v>81</v>
      </c>
      <c r="S41" t="s">
        <v>75</v>
      </c>
      <c r="T41" s="1" t="s">
        <v>118</v>
      </c>
      <c r="U41">
        <v>7</v>
      </c>
      <c r="V41" t="s">
        <v>67</v>
      </c>
      <c r="W41" t="s">
        <v>70</v>
      </c>
      <c r="X41" t="s">
        <v>71</v>
      </c>
      <c r="Y41" t="s">
        <v>72</v>
      </c>
    </row>
    <row r="42" spans="1:25">
      <c r="A42">
        <v>13527</v>
      </c>
      <c r="B42" t="s">
        <v>25</v>
      </c>
      <c r="C42" t="str">
        <f t="shared" si="0"/>
        <v>INTEGRA Saloon</v>
      </c>
      <c r="D42" t="str">
        <f t="shared" si="1"/>
        <v>1.5</v>
      </c>
      <c r="E42" t="s">
        <v>26</v>
      </c>
      <c r="F42">
        <v>198501</v>
      </c>
      <c r="G42">
        <v>199012</v>
      </c>
      <c r="H42">
        <v>63</v>
      </c>
      <c r="I42">
        <v>85</v>
      </c>
      <c r="J42">
        <v>1488</v>
      </c>
      <c r="K42">
        <v>3652974</v>
      </c>
      <c r="L42" t="s">
        <v>119</v>
      </c>
      <c r="M42" t="str">
        <f>"XO127"</f>
        <v>XO127</v>
      </c>
      <c r="N42" t="str">
        <f>"XO127"</f>
        <v>XO127</v>
      </c>
      <c r="O42" t="str">
        <f>""</f>
        <v/>
      </c>
      <c r="P42" t="s">
        <v>67</v>
      </c>
      <c r="Q42" t="str">
        <f>""</f>
        <v/>
      </c>
      <c r="R42" s="1" t="s">
        <v>120</v>
      </c>
      <c r="T42" t="s">
        <v>121</v>
      </c>
      <c r="U42">
        <v>7</v>
      </c>
      <c r="V42" t="s">
        <v>67</v>
      </c>
      <c r="W42" t="s">
        <v>70</v>
      </c>
      <c r="X42" t="s">
        <v>71</v>
      </c>
      <c r="Y42" t="s">
        <v>72</v>
      </c>
    </row>
    <row r="43" spans="1:25">
      <c r="A43">
        <v>13527</v>
      </c>
      <c r="B43" t="s">
        <v>25</v>
      </c>
      <c r="C43" t="str">
        <f t="shared" si="0"/>
        <v>INTEGRA Saloon</v>
      </c>
      <c r="D43" t="str">
        <f t="shared" si="1"/>
        <v>1.5</v>
      </c>
      <c r="E43" t="s">
        <v>26</v>
      </c>
      <c r="F43">
        <v>198501</v>
      </c>
      <c r="G43">
        <v>199012</v>
      </c>
      <c r="H43">
        <v>63</v>
      </c>
      <c r="I43">
        <v>85</v>
      </c>
      <c r="J43">
        <v>1488</v>
      </c>
      <c r="K43">
        <v>3653257</v>
      </c>
      <c r="L43" t="s">
        <v>119</v>
      </c>
      <c r="M43" t="str">
        <f>"XO42"</f>
        <v>XO42</v>
      </c>
      <c r="N43" t="str">
        <f>"XO42"</f>
        <v>XO42</v>
      </c>
      <c r="O43" t="str">
        <f>""</f>
        <v/>
      </c>
      <c r="P43" t="s">
        <v>67</v>
      </c>
      <c r="Q43" t="str">
        <f>""</f>
        <v/>
      </c>
      <c r="R43" t="s">
        <v>122</v>
      </c>
      <c r="T43" s="1" t="s">
        <v>123</v>
      </c>
      <c r="U43">
        <v>7</v>
      </c>
      <c r="V43" t="s">
        <v>67</v>
      </c>
      <c r="W43" t="s">
        <v>70</v>
      </c>
      <c r="X43" t="s">
        <v>71</v>
      </c>
      <c r="Y43" t="s">
        <v>72</v>
      </c>
    </row>
    <row r="44" spans="1:25">
      <c r="A44">
        <v>13527</v>
      </c>
      <c r="B44" t="s">
        <v>25</v>
      </c>
      <c r="C44" t="str">
        <f t="shared" si="0"/>
        <v>INTEGRA Saloon</v>
      </c>
      <c r="D44" t="str">
        <f t="shared" si="1"/>
        <v>1.5</v>
      </c>
      <c r="E44" t="s">
        <v>26</v>
      </c>
      <c r="F44">
        <v>198501</v>
      </c>
      <c r="G44">
        <v>199012</v>
      </c>
      <c r="H44">
        <v>63</v>
      </c>
      <c r="I44">
        <v>85</v>
      </c>
      <c r="J44">
        <v>1488</v>
      </c>
      <c r="K44">
        <v>3920983</v>
      </c>
      <c r="L44" t="s">
        <v>124</v>
      </c>
      <c r="M44" t="str">
        <f>"FT5407"</f>
        <v>FT5407</v>
      </c>
      <c r="N44" t="str">
        <f>"FT5407"</f>
        <v>FT5407</v>
      </c>
      <c r="O44" t="str">
        <f>""</f>
        <v/>
      </c>
      <c r="P44" t="s">
        <v>67</v>
      </c>
      <c r="Q44" t="str">
        <f>"8012658065425"</f>
        <v>8012658065425</v>
      </c>
      <c r="R44" t="s">
        <v>125</v>
      </c>
      <c r="S44" t="s">
        <v>75</v>
      </c>
      <c r="T44" s="1" t="s">
        <v>126</v>
      </c>
      <c r="U44">
        <v>7</v>
      </c>
      <c r="V44" t="s">
        <v>67</v>
      </c>
      <c r="W44" t="s">
        <v>70</v>
      </c>
      <c r="X44" t="s">
        <v>71</v>
      </c>
      <c r="Y44" t="s">
        <v>72</v>
      </c>
    </row>
    <row r="45" spans="1:25">
      <c r="A45">
        <v>13527</v>
      </c>
      <c r="B45" t="s">
        <v>25</v>
      </c>
      <c r="C45" t="str">
        <f t="shared" si="0"/>
        <v>INTEGRA Saloon</v>
      </c>
      <c r="D45" t="str">
        <f t="shared" si="1"/>
        <v>1.5</v>
      </c>
      <c r="E45" t="s">
        <v>26</v>
      </c>
      <c r="F45">
        <v>198501</v>
      </c>
      <c r="G45">
        <v>199012</v>
      </c>
      <c r="H45">
        <v>63</v>
      </c>
      <c r="I45">
        <v>85</v>
      </c>
      <c r="J45">
        <v>1488</v>
      </c>
      <c r="K45">
        <v>3963822</v>
      </c>
      <c r="L45" t="s">
        <v>27</v>
      </c>
      <c r="M45" t="str">
        <f>"H08201"</f>
        <v>H08201</v>
      </c>
      <c r="N45" t="str">
        <f>"H082-01"</f>
        <v>H082-01</v>
      </c>
      <c r="O45" t="str">
        <f>""</f>
        <v/>
      </c>
      <c r="P45" t="s">
        <v>67</v>
      </c>
      <c r="Q45" t="str">
        <f>"8718993208748"</f>
        <v>8718993208748</v>
      </c>
      <c r="R45" t="s">
        <v>127</v>
      </c>
      <c r="T45" s="1" t="s">
        <v>128</v>
      </c>
      <c r="U45">
        <v>7</v>
      </c>
      <c r="V45" t="s">
        <v>67</v>
      </c>
      <c r="W45" t="s">
        <v>70</v>
      </c>
      <c r="X45" t="s">
        <v>71</v>
      </c>
      <c r="Y45" t="s">
        <v>72</v>
      </c>
    </row>
    <row r="46" spans="1:25">
      <c r="A46">
        <v>13527</v>
      </c>
      <c r="B46" t="s">
        <v>25</v>
      </c>
      <c r="C46" t="str">
        <f t="shared" si="0"/>
        <v>INTEGRA Saloon</v>
      </c>
      <c r="D46" t="str">
        <f t="shared" si="1"/>
        <v>1.5</v>
      </c>
      <c r="E46" t="s">
        <v>26</v>
      </c>
      <c r="F46">
        <v>198501</v>
      </c>
      <c r="G46">
        <v>199012</v>
      </c>
      <c r="H46">
        <v>63</v>
      </c>
      <c r="I46">
        <v>85</v>
      </c>
      <c r="J46">
        <v>1488</v>
      </c>
      <c r="K46">
        <v>4277083</v>
      </c>
      <c r="L46" t="s">
        <v>129</v>
      </c>
      <c r="M46" t="str">
        <f>"18010081046"</f>
        <v>18010081046</v>
      </c>
      <c r="N46" t="str">
        <f>"1801.0081046"</f>
        <v>1801.0081046</v>
      </c>
      <c r="O46" t="str">
        <f>""</f>
        <v/>
      </c>
      <c r="P46" t="s">
        <v>67</v>
      </c>
      <c r="Q46" t="str">
        <f>"8421779531984"</f>
        <v>8421779531984</v>
      </c>
      <c r="R46" t="s">
        <v>130</v>
      </c>
      <c r="T46" s="1" t="s">
        <v>131</v>
      </c>
      <c r="U46">
        <v>7</v>
      </c>
      <c r="V46" t="s">
        <v>67</v>
      </c>
      <c r="W46" t="s">
        <v>70</v>
      </c>
      <c r="X46" t="s">
        <v>71</v>
      </c>
      <c r="Y46" t="s">
        <v>72</v>
      </c>
    </row>
    <row r="47" spans="1:25">
      <c r="A47">
        <v>13527</v>
      </c>
      <c r="B47" t="s">
        <v>25</v>
      </c>
      <c r="C47" t="str">
        <f t="shared" si="0"/>
        <v>INTEGRA Saloon</v>
      </c>
      <c r="D47" t="str">
        <f t="shared" si="1"/>
        <v>1.5</v>
      </c>
      <c r="E47" t="s">
        <v>26</v>
      </c>
      <c r="F47">
        <v>198501</v>
      </c>
      <c r="G47">
        <v>199012</v>
      </c>
      <c r="H47">
        <v>63</v>
      </c>
      <c r="I47">
        <v>85</v>
      </c>
      <c r="J47">
        <v>1488</v>
      </c>
      <c r="K47">
        <v>709962</v>
      </c>
      <c r="L47" t="s">
        <v>83</v>
      </c>
      <c r="M47" t="str">
        <f>"CAF100183R"</f>
        <v>CAF100183R</v>
      </c>
      <c r="N47" t="str">
        <f>"CAF100183R"</f>
        <v>CAF100183R</v>
      </c>
      <c r="O47" t="str">
        <f>"CAF100183R"</f>
        <v>CAF100183R</v>
      </c>
      <c r="P47" t="s">
        <v>132</v>
      </c>
      <c r="Q47" t="str">
        <f>"4044197804061"</f>
        <v>4044197804061</v>
      </c>
      <c r="R47" t="s">
        <v>133</v>
      </c>
      <c r="T47" s="1" t="s">
        <v>134</v>
      </c>
      <c r="U47">
        <v>8</v>
      </c>
      <c r="V47" t="s">
        <v>132</v>
      </c>
      <c r="W47" t="s">
        <v>70</v>
      </c>
      <c r="X47" t="s">
        <v>135</v>
      </c>
      <c r="Y47" t="s">
        <v>136</v>
      </c>
    </row>
    <row r="48" spans="1:25">
      <c r="A48">
        <v>13527</v>
      </c>
      <c r="B48" t="s">
        <v>25</v>
      </c>
      <c r="C48" t="str">
        <f t="shared" si="0"/>
        <v>INTEGRA Saloon</v>
      </c>
      <c r="D48" t="str">
        <f t="shared" si="1"/>
        <v>1.5</v>
      </c>
      <c r="E48" t="s">
        <v>26</v>
      </c>
      <c r="F48">
        <v>198501</v>
      </c>
      <c r="G48">
        <v>199012</v>
      </c>
      <c r="H48">
        <v>63</v>
      </c>
      <c r="I48">
        <v>85</v>
      </c>
      <c r="J48">
        <v>1488</v>
      </c>
      <c r="K48">
        <v>1539724</v>
      </c>
      <c r="L48" t="s">
        <v>73</v>
      </c>
      <c r="M48" t="str">
        <f>"LX897"</f>
        <v>LX897</v>
      </c>
      <c r="N48" t="str">
        <f>"LX 897"</f>
        <v>LX 897</v>
      </c>
      <c r="O48" t="str">
        <f>"78444184"</f>
        <v>78444184</v>
      </c>
      <c r="P48" t="s">
        <v>132</v>
      </c>
      <c r="Q48" t="str">
        <f>"4009026103852"</f>
        <v>4009026103852</v>
      </c>
      <c r="R48" t="s">
        <v>137</v>
      </c>
      <c r="T48" s="1" t="s">
        <v>138</v>
      </c>
      <c r="U48">
        <v>8</v>
      </c>
      <c r="V48" t="s">
        <v>132</v>
      </c>
      <c r="W48" t="s">
        <v>70</v>
      </c>
      <c r="X48" t="s">
        <v>135</v>
      </c>
      <c r="Y48" t="s">
        <v>136</v>
      </c>
    </row>
    <row r="49" spans="1:25">
      <c r="A49">
        <v>13527</v>
      </c>
      <c r="B49" t="s">
        <v>25</v>
      </c>
      <c r="C49" t="str">
        <f t="shared" si="0"/>
        <v>INTEGRA Saloon</v>
      </c>
      <c r="D49" t="str">
        <f t="shared" si="1"/>
        <v>1.5</v>
      </c>
      <c r="E49" t="s">
        <v>26</v>
      </c>
      <c r="F49">
        <v>198501</v>
      </c>
      <c r="G49">
        <v>199012</v>
      </c>
      <c r="H49">
        <v>63</v>
      </c>
      <c r="I49">
        <v>85</v>
      </c>
      <c r="J49">
        <v>1488</v>
      </c>
      <c r="K49">
        <v>1671163</v>
      </c>
      <c r="L49" t="s">
        <v>83</v>
      </c>
      <c r="M49" t="str">
        <f>"W183606"</f>
        <v>W183606</v>
      </c>
      <c r="N49" t="str">
        <f>"W183/606"</f>
        <v>W183/606</v>
      </c>
      <c r="O49" t="str">
        <f>"W183"</f>
        <v>W183</v>
      </c>
      <c r="P49" t="s">
        <v>132</v>
      </c>
      <c r="Q49" t="str">
        <f>"5010874241831"</f>
        <v>5010874241831</v>
      </c>
      <c r="R49" t="s">
        <v>133</v>
      </c>
      <c r="T49" s="1" t="s">
        <v>139</v>
      </c>
      <c r="U49">
        <v>8</v>
      </c>
      <c r="V49" t="s">
        <v>132</v>
      </c>
      <c r="W49" t="s">
        <v>70</v>
      </c>
      <c r="X49" t="s">
        <v>135</v>
      </c>
      <c r="Y49" t="s">
        <v>136</v>
      </c>
    </row>
    <row r="50" spans="1:25">
      <c r="A50">
        <v>13527</v>
      </c>
      <c r="B50" t="s">
        <v>25</v>
      </c>
      <c r="C50" t="str">
        <f t="shared" si="0"/>
        <v>INTEGRA Saloon</v>
      </c>
      <c r="D50" t="str">
        <f t="shared" si="1"/>
        <v>1.5</v>
      </c>
      <c r="E50" t="s">
        <v>26</v>
      </c>
      <c r="F50">
        <v>198501</v>
      </c>
      <c r="G50">
        <v>199012</v>
      </c>
      <c r="H50">
        <v>63</v>
      </c>
      <c r="I50">
        <v>85</v>
      </c>
      <c r="J50">
        <v>1488</v>
      </c>
      <c r="K50">
        <v>2083544</v>
      </c>
      <c r="L50" t="s">
        <v>95</v>
      </c>
      <c r="M50" t="str">
        <f>"150010025400"</f>
        <v>150010025400</v>
      </c>
      <c r="N50" t="str">
        <f>"150010025400"</f>
        <v>150010025400</v>
      </c>
      <c r="O50" t="str">
        <f>"A254"</f>
        <v>A254</v>
      </c>
      <c r="P50" t="s">
        <v>132</v>
      </c>
      <c r="Q50" t="str">
        <f>"8017265102549"</f>
        <v>8017265102549</v>
      </c>
      <c r="R50" t="s">
        <v>140</v>
      </c>
      <c r="S50" t="s">
        <v>102</v>
      </c>
      <c r="T50" s="1" t="s">
        <v>141</v>
      </c>
      <c r="U50">
        <v>8</v>
      </c>
      <c r="V50" t="s">
        <v>132</v>
      </c>
      <c r="W50" t="s">
        <v>70</v>
      </c>
      <c r="X50" t="s">
        <v>135</v>
      </c>
      <c r="Y50" t="s">
        <v>136</v>
      </c>
    </row>
    <row r="51" spans="1:25">
      <c r="A51">
        <v>13527</v>
      </c>
      <c r="B51" t="s">
        <v>25</v>
      </c>
      <c r="C51" t="str">
        <f t="shared" si="0"/>
        <v>INTEGRA Saloon</v>
      </c>
      <c r="D51" t="str">
        <f t="shared" si="1"/>
        <v>1.5</v>
      </c>
      <c r="E51" t="s">
        <v>26</v>
      </c>
      <c r="F51">
        <v>198501</v>
      </c>
      <c r="G51">
        <v>199012</v>
      </c>
      <c r="H51">
        <v>63</v>
      </c>
      <c r="I51">
        <v>85</v>
      </c>
      <c r="J51">
        <v>1488</v>
      </c>
      <c r="K51">
        <v>2088030</v>
      </c>
      <c r="L51" t="s">
        <v>95</v>
      </c>
      <c r="M51" t="str">
        <f>"154084441920"</f>
        <v>154084441920</v>
      </c>
      <c r="N51" t="str">
        <f>"154084441920"</f>
        <v>154084441920</v>
      </c>
      <c r="O51" t="str">
        <f>"LX897"</f>
        <v>LX897</v>
      </c>
      <c r="P51" t="s">
        <v>132</v>
      </c>
      <c r="Q51" t="str">
        <f>"4009026103852"</f>
        <v>4009026103852</v>
      </c>
      <c r="R51" t="s">
        <v>142</v>
      </c>
      <c r="S51" t="s">
        <v>102</v>
      </c>
      <c r="T51" s="1" t="s">
        <v>143</v>
      </c>
      <c r="U51">
        <v>8</v>
      </c>
      <c r="V51" t="s">
        <v>132</v>
      </c>
      <c r="W51" t="s">
        <v>70</v>
      </c>
      <c r="X51" t="s">
        <v>135</v>
      </c>
      <c r="Y51" t="s">
        <v>136</v>
      </c>
    </row>
    <row r="52" spans="1:25">
      <c r="A52">
        <v>13527</v>
      </c>
      <c r="B52" t="s">
        <v>25</v>
      </c>
      <c r="C52" t="str">
        <f t="shared" si="0"/>
        <v>INTEGRA Saloon</v>
      </c>
      <c r="D52" t="str">
        <f t="shared" si="1"/>
        <v>1.5</v>
      </c>
      <c r="E52" t="s">
        <v>26</v>
      </c>
      <c r="F52">
        <v>198501</v>
      </c>
      <c r="G52">
        <v>199012</v>
      </c>
      <c r="H52">
        <v>63</v>
      </c>
      <c r="I52">
        <v>85</v>
      </c>
      <c r="J52">
        <v>1488</v>
      </c>
      <c r="K52">
        <v>2390771</v>
      </c>
      <c r="L52" t="s">
        <v>144</v>
      </c>
      <c r="M52" t="str">
        <f>"60567"</f>
        <v>60567</v>
      </c>
      <c r="N52" t="str">
        <f>"60567"</f>
        <v>60567</v>
      </c>
      <c r="O52" t="str">
        <f>""</f>
        <v/>
      </c>
      <c r="P52" t="s">
        <v>132</v>
      </c>
      <c r="Q52" t="str">
        <f>"4043605412065"</f>
        <v>4043605412065</v>
      </c>
      <c r="R52" t="s">
        <v>145</v>
      </c>
      <c r="T52" s="1" t="s">
        <v>146</v>
      </c>
      <c r="U52">
        <v>8</v>
      </c>
      <c r="V52" t="s">
        <v>132</v>
      </c>
      <c r="W52" t="s">
        <v>70</v>
      </c>
      <c r="X52" t="s">
        <v>135</v>
      </c>
      <c r="Y52" t="s">
        <v>136</v>
      </c>
    </row>
    <row r="53" spans="1:25">
      <c r="A53">
        <v>13527</v>
      </c>
      <c r="B53" t="s">
        <v>25</v>
      </c>
      <c r="C53" t="str">
        <f t="shared" si="0"/>
        <v>INTEGRA Saloon</v>
      </c>
      <c r="D53" t="str">
        <f t="shared" si="1"/>
        <v>1.5</v>
      </c>
      <c r="E53" t="s">
        <v>26</v>
      </c>
      <c r="F53">
        <v>198501</v>
      </c>
      <c r="G53">
        <v>199012</v>
      </c>
      <c r="H53">
        <v>63</v>
      </c>
      <c r="I53">
        <v>85</v>
      </c>
      <c r="J53">
        <v>1488</v>
      </c>
      <c r="K53">
        <v>2653149</v>
      </c>
      <c r="L53" t="s">
        <v>109</v>
      </c>
      <c r="M53" t="str">
        <f>"MA672"</f>
        <v>MA672</v>
      </c>
      <c r="N53" t="str">
        <f>"MA 672"</f>
        <v>MA 672</v>
      </c>
      <c r="O53" t="str">
        <f>""</f>
        <v/>
      </c>
      <c r="P53" t="s">
        <v>132</v>
      </c>
      <c r="Q53" t="str">
        <f>"8010042672006"</f>
        <v>8010042672006</v>
      </c>
      <c r="R53" t="s">
        <v>147</v>
      </c>
      <c r="T53" s="1" t="s">
        <v>148</v>
      </c>
      <c r="U53">
        <v>8</v>
      </c>
      <c r="V53" t="s">
        <v>132</v>
      </c>
      <c r="W53" t="s">
        <v>70</v>
      </c>
      <c r="X53" t="s">
        <v>135</v>
      </c>
      <c r="Y53" t="s">
        <v>136</v>
      </c>
    </row>
    <row r="54" spans="1:25">
      <c r="A54">
        <v>13527</v>
      </c>
      <c r="B54" t="s">
        <v>25</v>
      </c>
      <c r="C54" t="str">
        <f t="shared" si="0"/>
        <v>INTEGRA Saloon</v>
      </c>
      <c r="D54" t="str">
        <f t="shared" si="1"/>
        <v>1.5</v>
      </c>
      <c r="E54" t="s">
        <v>26</v>
      </c>
      <c r="F54">
        <v>198501</v>
      </c>
      <c r="G54">
        <v>199012</v>
      </c>
      <c r="H54">
        <v>63</v>
      </c>
      <c r="I54">
        <v>85</v>
      </c>
      <c r="J54">
        <v>1488</v>
      </c>
      <c r="K54">
        <v>2717457</v>
      </c>
      <c r="L54" t="s">
        <v>149</v>
      </c>
      <c r="M54" t="str">
        <f>"A141326"</f>
        <v>A141326</v>
      </c>
      <c r="N54" t="str">
        <f>"A141326"</f>
        <v>A141326</v>
      </c>
      <c r="O54" t="str">
        <f>""</f>
        <v/>
      </c>
      <c r="P54" t="s">
        <v>132</v>
      </c>
      <c r="Q54" t="str">
        <f>"5901225744586"</f>
        <v>5901225744586</v>
      </c>
      <c r="T54" t="s">
        <v>150</v>
      </c>
      <c r="U54">
        <v>8</v>
      </c>
      <c r="V54" t="s">
        <v>132</v>
      </c>
      <c r="W54" t="s">
        <v>70</v>
      </c>
      <c r="X54" t="s">
        <v>135</v>
      </c>
      <c r="Y54" t="s">
        <v>136</v>
      </c>
    </row>
    <row r="55" spans="1:25">
      <c r="A55">
        <v>13527</v>
      </c>
      <c r="B55" t="s">
        <v>25</v>
      </c>
      <c r="C55" t="str">
        <f t="shared" si="0"/>
        <v>INTEGRA Saloon</v>
      </c>
      <c r="D55" t="str">
        <f t="shared" si="1"/>
        <v>1.5</v>
      </c>
      <c r="E55" t="s">
        <v>26</v>
      </c>
      <c r="F55">
        <v>198501</v>
      </c>
      <c r="G55">
        <v>199012</v>
      </c>
      <c r="H55">
        <v>63</v>
      </c>
      <c r="I55">
        <v>85</v>
      </c>
      <c r="J55">
        <v>1488</v>
      </c>
      <c r="K55">
        <v>2999896</v>
      </c>
      <c r="L55" t="s">
        <v>151</v>
      </c>
      <c r="M55" t="str">
        <f>"18041"</f>
        <v>18041</v>
      </c>
      <c r="N55" t="str">
        <f>"18041"</f>
        <v>18041</v>
      </c>
      <c r="O55" t="str">
        <f>""</f>
        <v/>
      </c>
      <c r="P55" t="s">
        <v>132</v>
      </c>
      <c r="Q55" t="str">
        <f>""</f>
        <v/>
      </c>
      <c r="T55" s="1" t="s">
        <v>152</v>
      </c>
      <c r="U55">
        <v>8</v>
      </c>
      <c r="V55" t="s">
        <v>132</v>
      </c>
      <c r="W55" t="s">
        <v>70</v>
      </c>
      <c r="X55" t="s">
        <v>135</v>
      </c>
      <c r="Y55" t="s">
        <v>136</v>
      </c>
    </row>
    <row r="56" spans="1:25">
      <c r="A56">
        <v>13527</v>
      </c>
      <c r="B56" t="s">
        <v>25</v>
      </c>
      <c r="C56" t="str">
        <f t="shared" si="0"/>
        <v>INTEGRA Saloon</v>
      </c>
      <c r="D56" t="str">
        <f t="shared" si="1"/>
        <v>1.5</v>
      </c>
      <c r="E56" t="s">
        <v>26</v>
      </c>
      <c r="F56">
        <v>198501</v>
      </c>
      <c r="G56">
        <v>199012</v>
      </c>
      <c r="H56">
        <v>63</v>
      </c>
      <c r="I56">
        <v>85</v>
      </c>
      <c r="J56">
        <v>1488</v>
      </c>
      <c r="K56">
        <v>3026664</v>
      </c>
      <c r="L56" t="s">
        <v>33</v>
      </c>
      <c r="M56" t="str">
        <f>"J1324006"</f>
        <v>J1324006</v>
      </c>
      <c r="N56" t="str">
        <f>"J1324006"</f>
        <v>J1324006</v>
      </c>
      <c r="O56" t="str">
        <f>""</f>
        <v/>
      </c>
      <c r="P56" t="s">
        <v>132</v>
      </c>
      <c r="Q56" t="str">
        <f>"8711768033873"</f>
        <v>8711768033873</v>
      </c>
      <c r="R56" t="s">
        <v>153</v>
      </c>
      <c r="T56" s="1" t="s">
        <v>154</v>
      </c>
      <c r="U56">
        <v>8</v>
      </c>
      <c r="V56" t="s">
        <v>132</v>
      </c>
      <c r="W56" t="s">
        <v>70</v>
      </c>
      <c r="X56" t="s">
        <v>135</v>
      </c>
      <c r="Y56" t="s">
        <v>136</v>
      </c>
    </row>
    <row r="57" spans="1:25">
      <c r="A57">
        <v>13527</v>
      </c>
      <c r="B57" t="s">
        <v>25</v>
      </c>
      <c r="C57" t="str">
        <f t="shared" si="0"/>
        <v>INTEGRA Saloon</v>
      </c>
      <c r="D57" t="str">
        <f t="shared" si="1"/>
        <v>1.5</v>
      </c>
      <c r="E57" t="s">
        <v>26</v>
      </c>
      <c r="F57">
        <v>198501</v>
      </c>
      <c r="G57">
        <v>199012</v>
      </c>
      <c r="H57">
        <v>63</v>
      </c>
      <c r="I57">
        <v>85</v>
      </c>
      <c r="J57">
        <v>1488</v>
      </c>
      <c r="K57">
        <v>3278320</v>
      </c>
      <c r="L57" t="s">
        <v>116</v>
      </c>
      <c r="M57" t="str">
        <f>"LX897"</f>
        <v>LX897</v>
      </c>
      <c r="N57" t="str">
        <f>"LX 897"</f>
        <v>LX 897</v>
      </c>
      <c r="O57" t="str">
        <f>"78444192"</f>
        <v>78444192</v>
      </c>
      <c r="P57" t="s">
        <v>132</v>
      </c>
      <c r="Q57" t="str">
        <f>"4009026103852"</f>
        <v>4009026103852</v>
      </c>
      <c r="R57" t="s">
        <v>137</v>
      </c>
      <c r="T57" s="1" t="s">
        <v>155</v>
      </c>
      <c r="U57">
        <v>8</v>
      </c>
      <c r="V57" t="s">
        <v>132</v>
      </c>
      <c r="W57" t="s">
        <v>70</v>
      </c>
      <c r="X57" t="s">
        <v>135</v>
      </c>
      <c r="Y57" t="s">
        <v>136</v>
      </c>
    </row>
    <row r="58" spans="1:25">
      <c r="A58">
        <v>13527</v>
      </c>
      <c r="B58" t="s">
        <v>25</v>
      </c>
      <c r="C58" t="str">
        <f t="shared" si="0"/>
        <v>INTEGRA Saloon</v>
      </c>
      <c r="D58" t="str">
        <f t="shared" si="1"/>
        <v>1.5</v>
      </c>
      <c r="E58" t="s">
        <v>26</v>
      </c>
      <c r="F58">
        <v>198501</v>
      </c>
      <c r="G58">
        <v>199012</v>
      </c>
      <c r="H58">
        <v>63</v>
      </c>
      <c r="I58">
        <v>85</v>
      </c>
      <c r="J58">
        <v>1488</v>
      </c>
      <c r="K58">
        <v>3522359</v>
      </c>
      <c r="L58" t="s">
        <v>156</v>
      </c>
      <c r="M58" t="str">
        <f>"18041"</f>
        <v>18041</v>
      </c>
      <c r="N58" t="str">
        <f>"18041"</f>
        <v>18041</v>
      </c>
      <c r="O58" t="str">
        <f>""</f>
        <v/>
      </c>
      <c r="P58" t="s">
        <v>132</v>
      </c>
      <c r="Q58" t="str">
        <f>""</f>
        <v/>
      </c>
      <c r="T58" s="1" t="s">
        <v>152</v>
      </c>
      <c r="U58">
        <v>8</v>
      </c>
      <c r="V58" t="s">
        <v>132</v>
      </c>
      <c r="W58" t="s">
        <v>70</v>
      </c>
      <c r="X58" t="s">
        <v>135</v>
      </c>
      <c r="Y58" t="s">
        <v>136</v>
      </c>
    </row>
    <row r="59" spans="1:25">
      <c r="A59">
        <v>13527</v>
      </c>
      <c r="B59" t="s">
        <v>25</v>
      </c>
      <c r="C59" t="str">
        <f t="shared" si="0"/>
        <v>INTEGRA Saloon</v>
      </c>
      <c r="D59" t="str">
        <f t="shared" si="1"/>
        <v>1.5</v>
      </c>
      <c r="E59" t="s">
        <v>26</v>
      </c>
      <c r="F59">
        <v>198501</v>
      </c>
      <c r="G59">
        <v>199012</v>
      </c>
      <c r="H59">
        <v>63</v>
      </c>
      <c r="I59">
        <v>85</v>
      </c>
      <c r="J59">
        <v>1488</v>
      </c>
      <c r="K59">
        <v>3963826</v>
      </c>
      <c r="L59" t="s">
        <v>27</v>
      </c>
      <c r="M59" t="str">
        <f>"H08503"</f>
        <v>H08503</v>
      </c>
      <c r="N59" t="str">
        <f>"H085-03"</f>
        <v>H085-03</v>
      </c>
      <c r="O59" t="str">
        <f>""</f>
        <v/>
      </c>
      <c r="P59" t="s">
        <v>132</v>
      </c>
      <c r="Q59" t="str">
        <f>"8718993208779"</f>
        <v>8718993208779</v>
      </c>
      <c r="R59" t="s">
        <v>157</v>
      </c>
      <c r="T59" s="1" t="s">
        <v>158</v>
      </c>
      <c r="U59">
        <v>8</v>
      </c>
      <c r="V59" t="s">
        <v>132</v>
      </c>
      <c r="W59" t="s">
        <v>70</v>
      </c>
      <c r="X59" t="s">
        <v>135</v>
      </c>
      <c r="Y59" t="s">
        <v>136</v>
      </c>
    </row>
    <row r="60" spans="1:25">
      <c r="A60">
        <v>13527</v>
      </c>
      <c r="B60" t="s">
        <v>25</v>
      </c>
      <c r="C60" t="str">
        <f t="shared" si="0"/>
        <v>INTEGRA Saloon</v>
      </c>
      <c r="D60" t="str">
        <f t="shared" si="1"/>
        <v>1.5</v>
      </c>
      <c r="E60" t="s">
        <v>26</v>
      </c>
      <c r="F60">
        <v>198501</v>
      </c>
      <c r="G60">
        <v>199012</v>
      </c>
      <c r="H60">
        <v>63</v>
      </c>
      <c r="I60">
        <v>85</v>
      </c>
      <c r="J60">
        <v>1488</v>
      </c>
      <c r="K60">
        <v>710326</v>
      </c>
      <c r="L60" t="s">
        <v>83</v>
      </c>
      <c r="M60" t="str">
        <f>"L586606"</f>
        <v>L586606</v>
      </c>
      <c r="N60" t="str">
        <f>"L586/606"</f>
        <v>L586/606</v>
      </c>
      <c r="O60" t="str">
        <f>"L586"</f>
        <v>L586</v>
      </c>
      <c r="P60" t="s">
        <v>159</v>
      </c>
      <c r="Q60" t="str">
        <f>""</f>
        <v/>
      </c>
      <c r="R60" t="s">
        <v>160</v>
      </c>
      <c r="T60" s="1" t="s">
        <v>161</v>
      </c>
      <c r="U60">
        <v>9</v>
      </c>
      <c r="V60" t="s">
        <v>159</v>
      </c>
      <c r="W60" t="s">
        <v>70</v>
      </c>
      <c r="X60" t="s">
        <v>162</v>
      </c>
      <c r="Y60" t="s">
        <v>163</v>
      </c>
    </row>
    <row r="61" spans="1:25">
      <c r="A61">
        <v>13527</v>
      </c>
      <c r="B61" t="s">
        <v>25</v>
      </c>
      <c r="C61" t="str">
        <f t="shared" si="0"/>
        <v>INTEGRA Saloon</v>
      </c>
      <c r="D61" t="str">
        <f t="shared" si="1"/>
        <v>1.5</v>
      </c>
      <c r="E61" t="s">
        <v>26</v>
      </c>
      <c r="F61">
        <v>198501</v>
      </c>
      <c r="G61">
        <v>199012</v>
      </c>
      <c r="H61">
        <v>63</v>
      </c>
      <c r="I61">
        <v>85</v>
      </c>
      <c r="J61">
        <v>1488</v>
      </c>
      <c r="K61">
        <v>713409</v>
      </c>
      <c r="L61" t="s">
        <v>83</v>
      </c>
      <c r="M61" t="str">
        <f>"CFF100586"</f>
        <v>CFF100586</v>
      </c>
      <c r="N61" t="str">
        <f>"CFF100586"</f>
        <v>CFF100586</v>
      </c>
      <c r="O61" t="str">
        <f>"CFF100586"</f>
        <v>CFF100586</v>
      </c>
      <c r="P61" t="s">
        <v>159</v>
      </c>
      <c r="Q61" t="str">
        <f>"4044197776733"</f>
        <v>4044197776733</v>
      </c>
      <c r="R61" t="s">
        <v>160</v>
      </c>
      <c r="T61" s="1" t="s">
        <v>164</v>
      </c>
      <c r="U61">
        <v>9</v>
      </c>
      <c r="V61" t="s">
        <v>159</v>
      </c>
      <c r="W61" t="s">
        <v>70</v>
      </c>
      <c r="X61" t="s">
        <v>162</v>
      </c>
      <c r="Y61" t="s">
        <v>163</v>
      </c>
    </row>
    <row r="62" spans="1:25">
      <c r="A62">
        <v>13527</v>
      </c>
      <c r="B62" t="s">
        <v>25</v>
      </c>
      <c r="C62" t="str">
        <f t="shared" si="0"/>
        <v>INTEGRA Saloon</v>
      </c>
      <c r="D62" t="str">
        <f t="shared" si="1"/>
        <v>1.5</v>
      </c>
      <c r="E62" t="s">
        <v>26</v>
      </c>
      <c r="F62">
        <v>198501</v>
      </c>
      <c r="G62">
        <v>199012</v>
      </c>
      <c r="H62">
        <v>63</v>
      </c>
      <c r="I62">
        <v>85</v>
      </c>
      <c r="J62">
        <v>1488</v>
      </c>
      <c r="K62">
        <v>1801398</v>
      </c>
      <c r="L62" t="s">
        <v>89</v>
      </c>
      <c r="M62" t="str">
        <f>"G4774"</f>
        <v>G4774</v>
      </c>
      <c r="N62" t="str">
        <f>"G4774"</f>
        <v>G4774</v>
      </c>
      <c r="O62" t="str">
        <f>""</f>
        <v/>
      </c>
      <c r="P62" t="s">
        <v>159</v>
      </c>
      <c r="Q62" t="str">
        <f>"5022650201977"</f>
        <v>5022650201977</v>
      </c>
      <c r="R62" t="s">
        <v>165</v>
      </c>
      <c r="T62" s="1" t="s">
        <v>166</v>
      </c>
      <c r="U62">
        <v>9</v>
      </c>
      <c r="V62" t="s">
        <v>159</v>
      </c>
      <c r="W62" t="s">
        <v>70</v>
      </c>
      <c r="X62" t="s">
        <v>162</v>
      </c>
      <c r="Y62" t="s">
        <v>163</v>
      </c>
    </row>
    <row r="63" spans="1:25">
      <c r="A63">
        <v>13527</v>
      </c>
      <c r="B63" t="s">
        <v>25</v>
      </c>
      <c r="C63" t="str">
        <f t="shared" si="0"/>
        <v>INTEGRA Saloon</v>
      </c>
      <c r="D63" t="str">
        <f t="shared" si="1"/>
        <v>1.5</v>
      </c>
      <c r="E63" t="s">
        <v>26</v>
      </c>
      <c r="F63">
        <v>198501</v>
      </c>
      <c r="G63">
        <v>199012</v>
      </c>
      <c r="H63">
        <v>63</v>
      </c>
      <c r="I63">
        <v>85</v>
      </c>
      <c r="J63">
        <v>1488</v>
      </c>
      <c r="K63">
        <v>3026968</v>
      </c>
      <c r="L63" t="s">
        <v>33</v>
      </c>
      <c r="M63" t="str">
        <f>"J1334005"</f>
        <v>J1334005</v>
      </c>
      <c r="N63" t="str">
        <f>"J1334005"</f>
        <v>J1334005</v>
      </c>
      <c r="O63" t="str">
        <f>""</f>
        <v/>
      </c>
      <c r="P63" t="s">
        <v>159</v>
      </c>
      <c r="Q63" t="str">
        <f>"8711768035877"</f>
        <v>8711768035877</v>
      </c>
      <c r="R63" t="s">
        <v>167</v>
      </c>
      <c r="T63" s="1" t="s">
        <v>168</v>
      </c>
      <c r="U63">
        <v>9</v>
      </c>
      <c r="V63" t="s">
        <v>159</v>
      </c>
      <c r="W63" t="s">
        <v>70</v>
      </c>
      <c r="X63" t="s">
        <v>162</v>
      </c>
      <c r="Y63" t="s">
        <v>163</v>
      </c>
    </row>
    <row r="64" spans="1:25">
      <c r="A64">
        <v>13527</v>
      </c>
      <c r="B64" t="s">
        <v>25</v>
      </c>
      <c r="C64" t="str">
        <f t="shared" si="0"/>
        <v>INTEGRA Saloon</v>
      </c>
      <c r="D64" t="str">
        <f t="shared" si="1"/>
        <v>1.5</v>
      </c>
      <c r="E64" t="s">
        <v>26</v>
      </c>
      <c r="F64">
        <v>198501</v>
      </c>
      <c r="G64">
        <v>199012</v>
      </c>
      <c r="H64">
        <v>63</v>
      </c>
      <c r="I64">
        <v>85</v>
      </c>
      <c r="J64">
        <v>1488</v>
      </c>
      <c r="K64">
        <v>3284788</v>
      </c>
      <c r="L64" t="s">
        <v>117</v>
      </c>
      <c r="M64" t="str">
        <f>"BF1017"</f>
        <v>BF1017</v>
      </c>
      <c r="N64" t="str">
        <f>"BF-1017"</f>
        <v>BF-1017</v>
      </c>
      <c r="O64" t="str">
        <f>""</f>
        <v/>
      </c>
      <c r="P64" t="s">
        <v>159</v>
      </c>
      <c r="Q64" t="str">
        <f>"8430298801706"</f>
        <v>8430298801706</v>
      </c>
      <c r="U64">
        <v>9</v>
      </c>
      <c r="V64" t="s">
        <v>159</v>
      </c>
      <c r="W64" t="s">
        <v>70</v>
      </c>
      <c r="X64" t="s">
        <v>162</v>
      </c>
      <c r="Y64" t="s">
        <v>163</v>
      </c>
    </row>
    <row r="65" spans="1:25">
      <c r="A65">
        <v>13527</v>
      </c>
      <c r="B65" t="s">
        <v>25</v>
      </c>
      <c r="C65" t="str">
        <f t="shared" si="0"/>
        <v>INTEGRA Saloon</v>
      </c>
      <c r="D65" t="str">
        <f t="shared" si="1"/>
        <v>1.5</v>
      </c>
      <c r="E65" t="s">
        <v>26</v>
      </c>
      <c r="F65">
        <v>198501</v>
      </c>
      <c r="G65">
        <v>199012</v>
      </c>
      <c r="H65">
        <v>63</v>
      </c>
      <c r="I65">
        <v>85</v>
      </c>
      <c r="J65">
        <v>1488</v>
      </c>
      <c r="K65">
        <v>3963878</v>
      </c>
      <c r="L65" t="s">
        <v>27</v>
      </c>
      <c r="M65" t="str">
        <f>"H09501"</f>
        <v>H09501</v>
      </c>
      <c r="N65" t="str">
        <f>"H095-01"</f>
        <v>H095-01</v>
      </c>
      <c r="O65" t="str">
        <f>""</f>
        <v/>
      </c>
      <c r="P65" t="s">
        <v>159</v>
      </c>
      <c r="Q65" t="str">
        <f>"8718993209325"</f>
        <v>8718993209325</v>
      </c>
      <c r="R65" t="s">
        <v>169</v>
      </c>
      <c r="T65" s="1" t="s">
        <v>170</v>
      </c>
      <c r="U65">
        <v>9</v>
      </c>
      <c r="V65" t="s">
        <v>159</v>
      </c>
      <c r="W65" t="s">
        <v>70</v>
      </c>
      <c r="X65" t="s">
        <v>162</v>
      </c>
      <c r="Y65" t="s">
        <v>163</v>
      </c>
    </row>
    <row r="66" spans="1:25">
      <c r="A66">
        <v>13527</v>
      </c>
      <c r="B66" t="s">
        <v>25</v>
      </c>
      <c r="C66" t="str">
        <f t="shared" ref="C66:C129" si="2">"INTEGRA Saloon"</f>
        <v>INTEGRA Saloon</v>
      </c>
      <c r="D66" t="str">
        <f t="shared" ref="D66:D129" si="3">"1.5"</f>
        <v>1.5</v>
      </c>
      <c r="E66" t="s">
        <v>26</v>
      </c>
      <c r="F66">
        <v>198501</v>
      </c>
      <c r="G66">
        <v>199012</v>
      </c>
      <c r="H66">
        <v>63</v>
      </c>
      <c r="I66">
        <v>85</v>
      </c>
      <c r="J66">
        <v>1488</v>
      </c>
      <c r="K66">
        <v>3963879</v>
      </c>
      <c r="L66" t="s">
        <v>27</v>
      </c>
      <c r="M66" t="str">
        <f>"H09503"</f>
        <v>H09503</v>
      </c>
      <c r="N66" t="str">
        <f>"H095-03"</f>
        <v>H095-03</v>
      </c>
      <c r="O66" t="str">
        <f>""</f>
        <v/>
      </c>
      <c r="P66" t="s">
        <v>159</v>
      </c>
      <c r="Q66" t="str">
        <f>"8718993209332"</f>
        <v>8718993209332</v>
      </c>
      <c r="R66" t="s">
        <v>171</v>
      </c>
      <c r="T66" t="s">
        <v>172</v>
      </c>
      <c r="U66">
        <v>9</v>
      </c>
      <c r="V66" t="s">
        <v>159</v>
      </c>
      <c r="W66" t="s">
        <v>70</v>
      </c>
      <c r="X66" t="s">
        <v>162</v>
      </c>
      <c r="Y66" t="s">
        <v>163</v>
      </c>
    </row>
    <row r="67" spans="1:25">
      <c r="A67">
        <v>13527</v>
      </c>
      <c r="B67" t="s">
        <v>25</v>
      </c>
      <c r="C67" t="str">
        <f t="shared" si="2"/>
        <v>INTEGRA Saloon</v>
      </c>
      <c r="D67" t="str">
        <f t="shared" si="3"/>
        <v>1.5</v>
      </c>
      <c r="E67" t="s">
        <v>26</v>
      </c>
      <c r="F67">
        <v>198501</v>
      </c>
      <c r="G67">
        <v>199012</v>
      </c>
      <c r="H67">
        <v>63</v>
      </c>
      <c r="I67">
        <v>85</v>
      </c>
      <c r="J67">
        <v>1488</v>
      </c>
      <c r="K67">
        <v>127139</v>
      </c>
      <c r="L67" t="s">
        <v>173</v>
      </c>
      <c r="M67" t="str">
        <f>"6466MC"</f>
        <v>6466MC</v>
      </c>
      <c r="N67" t="str">
        <f>"6466MC"</f>
        <v>6466MC</v>
      </c>
      <c r="O67" t="str">
        <f>""</f>
        <v/>
      </c>
      <c r="P67" t="s">
        <v>174</v>
      </c>
      <c r="Q67" t="str">
        <f>"5412571000986"</f>
        <v>5412571000986</v>
      </c>
      <c r="S67" t="s">
        <v>175</v>
      </c>
      <c r="T67" s="1" t="s">
        <v>176</v>
      </c>
      <c r="U67">
        <v>10</v>
      </c>
      <c r="V67" t="s">
        <v>174</v>
      </c>
      <c r="W67" t="s">
        <v>177</v>
      </c>
      <c r="X67" t="s">
        <v>178</v>
      </c>
      <c r="Y67" t="s">
        <v>174</v>
      </c>
    </row>
    <row r="68" spans="1:25">
      <c r="A68">
        <v>13527</v>
      </c>
      <c r="B68" t="s">
        <v>25</v>
      </c>
      <c r="C68" t="str">
        <f t="shared" si="2"/>
        <v>INTEGRA Saloon</v>
      </c>
      <c r="D68" t="str">
        <f t="shared" si="3"/>
        <v>1.5</v>
      </c>
      <c r="E68" t="s">
        <v>26</v>
      </c>
      <c r="F68">
        <v>198501</v>
      </c>
      <c r="G68">
        <v>199012</v>
      </c>
      <c r="H68">
        <v>63</v>
      </c>
      <c r="I68">
        <v>85</v>
      </c>
      <c r="J68">
        <v>1488</v>
      </c>
      <c r="K68">
        <v>284374</v>
      </c>
      <c r="L68" t="s">
        <v>144</v>
      </c>
      <c r="M68" t="str">
        <f>"100825"</f>
        <v>100825</v>
      </c>
      <c r="N68" t="str">
        <f>"100825"</f>
        <v>100825</v>
      </c>
      <c r="O68" t="str">
        <f>""</f>
        <v/>
      </c>
      <c r="P68" t="s">
        <v>174</v>
      </c>
      <c r="Q68" t="str">
        <f>"4043605430298"</f>
        <v>4043605430298</v>
      </c>
      <c r="R68" t="s">
        <v>179</v>
      </c>
      <c r="S68" t="s">
        <v>175</v>
      </c>
      <c r="T68" s="1" t="s">
        <v>180</v>
      </c>
      <c r="U68">
        <v>10</v>
      </c>
      <c r="V68" t="s">
        <v>174</v>
      </c>
      <c r="W68" t="s">
        <v>177</v>
      </c>
      <c r="X68" t="s">
        <v>178</v>
      </c>
      <c r="Y68" t="s">
        <v>174</v>
      </c>
    </row>
    <row r="69" spans="1:25">
      <c r="A69">
        <v>13527</v>
      </c>
      <c r="B69" t="s">
        <v>25</v>
      </c>
      <c r="C69" t="str">
        <f t="shared" si="2"/>
        <v>INTEGRA Saloon</v>
      </c>
      <c r="D69" t="str">
        <f t="shared" si="3"/>
        <v>1.5</v>
      </c>
      <c r="E69" t="s">
        <v>26</v>
      </c>
      <c r="F69">
        <v>198501</v>
      </c>
      <c r="G69">
        <v>199012</v>
      </c>
      <c r="H69">
        <v>63</v>
      </c>
      <c r="I69">
        <v>85</v>
      </c>
      <c r="J69">
        <v>1488</v>
      </c>
      <c r="K69">
        <v>2231217</v>
      </c>
      <c r="L69" t="s">
        <v>181</v>
      </c>
      <c r="M69" t="str">
        <f>"8640130900"</f>
        <v>8640130900</v>
      </c>
      <c r="N69" t="str">
        <f>"8640 130900"</f>
        <v>8640 130900</v>
      </c>
      <c r="O69" t="str">
        <f>""</f>
        <v/>
      </c>
      <c r="P69" t="s">
        <v>174</v>
      </c>
      <c r="Q69" t="str">
        <f>"5709147081341"</f>
        <v>5709147081341</v>
      </c>
      <c r="S69" t="s">
        <v>175</v>
      </c>
      <c r="T69" s="1" t="s">
        <v>182</v>
      </c>
      <c r="U69">
        <v>10</v>
      </c>
      <c r="V69" t="s">
        <v>174</v>
      </c>
      <c r="W69" t="s">
        <v>177</v>
      </c>
      <c r="X69" t="s">
        <v>178</v>
      </c>
      <c r="Y69" t="s">
        <v>174</v>
      </c>
    </row>
    <row r="70" spans="1:25">
      <c r="A70">
        <v>13527</v>
      </c>
      <c r="B70" t="s">
        <v>25</v>
      </c>
      <c r="C70" t="str">
        <f t="shared" si="2"/>
        <v>INTEGRA Saloon</v>
      </c>
      <c r="D70" t="str">
        <f t="shared" si="3"/>
        <v>1.5</v>
      </c>
      <c r="E70" t="s">
        <v>26</v>
      </c>
      <c r="F70">
        <v>198501</v>
      </c>
      <c r="G70">
        <v>199012</v>
      </c>
      <c r="H70">
        <v>63</v>
      </c>
      <c r="I70">
        <v>85</v>
      </c>
      <c r="J70">
        <v>1488</v>
      </c>
      <c r="K70">
        <v>3025092</v>
      </c>
      <c r="L70" t="s">
        <v>33</v>
      </c>
      <c r="M70" t="str">
        <f>"J1100875"</f>
        <v>J1100875</v>
      </c>
      <c r="N70" t="str">
        <f>"J1100875"</f>
        <v>J1100875</v>
      </c>
      <c r="O70" t="str">
        <f>""</f>
        <v/>
      </c>
      <c r="P70" t="s">
        <v>174</v>
      </c>
      <c r="Q70" t="str">
        <f>"8711768023492"</f>
        <v>8711768023492</v>
      </c>
      <c r="R70" t="s">
        <v>183</v>
      </c>
      <c r="S70" t="s">
        <v>184</v>
      </c>
      <c r="T70" s="1" t="s">
        <v>185</v>
      </c>
      <c r="U70">
        <v>10</v>
      </c>
      <c r="V70" t="s">
        <v>174</v>
      </c>
      <c r="W70" t="s">
        <v>177</v>
      </c>
      <c r="X70" t="s">
        <v>178</v>
      </c>
      <c r="Y70" t="s">
        <v>174</v>
      </c>
    </row>
    <row r="71" spans="1:25">
      <c r="A71">
        <v>13527</v>
      </c>
      <c r="B71" t="s">
        <v>25</v>
      </c>
      <c r="C71" t="str">
        <f t="shared" si="2"/>
        <v>INTEGRA Saloon</v>
      </c>
      <c r="D71" t="str">
        <f t="shared" si="3"/>
        <v>1.5</v>
      </c>
      <c r="E71" t="s">
        <v>26</v>
      </c>
      <c r="F71">
        <v>198501</v>
      </c>
      <c r="G71">
        <v>199012</v>
      </c>
      <c r="H71">
        <v>63</v>
      </c>
      <c r="I71">
        <v>85</v>
      </c>
      <c r="J71">
        <v>1488</v>
      </c>
      <c r="K71">
        <v>3025616</v>
      </c>
      <c r="L71" t="s">
        <v>33</v>
      </c>
      <c r="M71" t="str">
        <f>"J1130825"</f>
        <v>J1130825</v>
      </c>
      <c r="N71" t="str">
        <f>"J1130825"</f>
        <v>J1130825</v>
      </c>
      <c r="O71" t="str">
        <f>""</f>
        <v/>
      </c>
      <c r="P71" t="s">
        <v>174</v>
      </c>
      <c r="Q71" t="str">
        <f>"8711768025670"</f>
        <v>8711768025670</v>
      </c>
      <c r="R71" t="s">
        <v>186</v>
      </c>
      <c r="S71" t="s">
        <v>175</v>
      </c>
      <c r="T71" t="s">
        <v>187</v>
      </c>
      <c r="U71">
        <v>10</v>
      </c>
      <c r="V71" t="s">
        <v>174</v>
      </c>
      <c r="W71" t="s">
        <v>177</v>
      </c>
      <c r="X71" t="s">
        <v>178</v>
      </c>
      <c r="Y71" t="s">
        <v>174</v>
      </c>
    </row>
    <row r="72" spans="1:25">
      <c r="A72">
        <v>13527</v>
      </c>
      <c r="B72" t="s">
        <v>25</v>
      </c>
      <c r="C72" t="str">
        <f t="shared" si="2"/>
        <v>INTEGRA Saloon</v>
      </c>
      <c r="D72" t="str">
        <f t="shared" si="3"/>
        <v>1.5</v>
      </c>
      <c r="E72" t="s">
        <v>26</v>
      </c>
      <c r="F72">
        <v>198501</v>
      </c>
      <c r="G72">
        <v>199012</v>
      </c>
      <c r="H72">
        <v>63</v>
      </c>
      <c r="I72">
        <v>85</v>
      </c>
      <c r="J72">
        <v>1488</v>
      </c>
      <c r="K72">
        <v>3975222</v>
      </c>
      <c r="L72" t="s">
        <v>27</v>
      </c>
      <c r="M72" t="str">
        <f>"V100875"</f>
        <v>V100875</v>
      </c>
      <c r="N72" t="str">
        <f>"V10-0875"</f>
        <v>V10-0875</v>
      </c>
      <c r="O72" t="str">
        <f>""</f>
        <v/>
      </c>
      <c r="P72" t="s">
        <v>174</v>
      </c>
      <c r="Q72" t="str">
        <f>"8718993417782"</f>
        <v>8718993417782</v>
      </c>
      <c r="R72" t="s">
        <v>183</v>
      </c>
      <c r="S72" t="s">
        <v>184</v>
      </c>
      <c r="T72" s="1" t="s">
        <v>188</v>
      </c>
      <c r="U72">
        <v>10</v>
      </c>
      <c r="V72" t="s">
        <v>174</v>
      </c>
      <c r="W72" t="s">
        <v>177</v>
      </c>
      <c r="X72" t="s">
        <v>178</v>
      </c>
      <c r="Y72" t="s">
        <v>174</v>
      </c>
    </row>
    <row r="73" spans="1:25">
      <c r="A73">
        <v>13527</v>
      </c>
      <c r="B73" t="s">
        <v>25</v>
      </c>
      <c r="C73" t="str">
        <f t="shared" si="2"/>
        <v>INTEGRA Saloon</v>
      </c>
      <c r="D73" t="str">
        <f t="shared" si="3"/>
        <v>1.5</v>
      </c>
      <c r="E73" t="s">
        <v>26</v>
      </c>
      <c r="F73">
        <v>198501</v>
      </c>
      <c r="G73">
        <v>199012</v>
      </c>
      <c r="H73">
        <v>63</v>
      </c>
      <c r="I73">
        <v>85</v>
      </c>
      <c r="J73">
        <v>1488</v>
      </c>
      <c r="K73">
        <v>3975248</v>
      </c>
      <c r="L73" t="s">
        <v>27</v>
      </c>
      <c r="M73" t="str">
        <f>"V130825"</f>
        <v>V130825</v>
      </c>
      <c r="N73" t="str">
        <f>"V13-0825"</f>
        <v>V13-0825</v>
      </c>
      <c r="O73" t="str">
        <f>""</f>
        <v/>
      </c>
      <c r="P73" t="s">
        <v>174</v>
      </c>
      <c r="Q73" t="str">
        <f>"8718993418192"</f>
        <v>8718993418192</v>
      </c>
      <c r="R73" t="s">
        <v>186</v>
      </c>
      <c r="S73" t="s">
        <v>175</v>
      </c>
      <c r="T73" s="1" t="s">
        <v>189</v>
      </c>
      <c r="U73">
        <v>10</v>
      </c>
      <c r="V73" t="s">
        <v>174</v>
      </c>
      <c r="W73" t="s">
        <v>177</v>
      </c>
      <c r="X73" t="s">
        <v>178</v>
      </c>
      <c r="Y73" t="s">
        <v>174</v>
      </c>
    </row>
    <row r="74" spans="1:25">
      <c r="A74">
        <v>13527</v>
      </c>
      <c r="B74" t="s">
        <v>25</v>
      </c>
      <c r="C74" t="str">
        <f t="shared" si="2"/>
        <v>INTEGRA Saloon</v>
      </c>
      <c r="D74" t="str">
        <f t="shared" si="3"/>
        <v>1.5</v>
      </c>
      <c r="E74" t="s">
        <v>26</v>
      </c>
      <c r="F74">
        <v>198501</v>
      </c>
      <c r="G74">
        <v>199012</v>
      </c>
      <c r="H74">
        <v>63</v>
      </c>
      <c r="I74">
        <v>85</v>
      </c>
      <c r="J74">
        <v>1488</v>
      </c>
      <c r="K74">
        <v>4277035</v>
      </c>
      <c r="L74" t="s">
        <v>129</v>
      </c>
      <c r="M74" t="str">
        <f>"13KSM900"</f>
        <v>13KSM900</v>
      </c>
      <c r="N74" t="str">
        <f>"13KSM900"</f>
        <v>13KSM900</v>
      </c>
      <c r="O74" t="str">
        <f>""</f>
        <v/>
      </c>
      <c r="P74" t="s">
        <v>174</v>
      </c>
      <c r="Q74" t="str">
        <f>"8421779545226"</f>
        <v>8421779545226</v>
      </c>
      <c r="R74" t="s">
        <v>190</v>
      </c>
      <c r="S74" t="s">
        <v>191</v>
      </c>
      <c r="T74" s="1" t="s">
        <v>192</v>
      </c>
      <c r="U74">
        <v>10</v>
      </c>
      <c r="V74" t="s">
        <v>174</v>
      </c>
      <c r="W74" t="s">
        <v>177</v>
      </c>
      <c r="X74" t="s">
        <v>178</v>
      </c>
      <c r="Y74" t="s">
        <v>174</v>
      </c>
    </row>
    <row r="75" spans="1:25">
      <c r="A75">
        <v>13527</v>
      </c>
      <c r="B75" t="s">
        <v>25</v>
      </c>
      <c r="C75" t="str">
        <f t="shared" si="2"/>
        <v>INTEGRA Saloon</v>
      </c>
      <c r="D75" t="str">
        <f t="shared" si="3"/>
        <v>1.5</v>
      </c>
      <c r="E75" t="s">
        <v>26</v>
      </c>
      <c r="F75">
        <v>198501</v>
      </c>
      <c r="G75">
        <v>199012</v>
      </c>
      <c r="H75">
        <v>63</v>
      </c>
      <c r="I75">
        <v>85</v>
      </c>
      <c r="J75">
        <v>1488</v>
      </c>
      <c r="K75">
        <v>4415523</v>
      </c>
      <c r="L75" t="s">
        <v>193</v>
      </c>
      <c r="M75" t="str">
        <f>"13X900LX"</f>
        <v>13X900LX</v>
      </c>
      <c r="N75" t="str">
        <f>"13X900LX"</f>
        <v>13X900LX</v>
      </c>
      <c r="O75" t="str">
        <f>""</f>
        <v/>
      </c>
      <c r="P75" t="s">
        <v>174</v>
      </c>
      <c r="Q75" t="str">
        <f>"4905601000472"</f>
        <v>4905601000472</v>
      </c>
      <c r="R75" t="s">
        <v>194</v>
      </c>
      <c r="S75" t="s">
        <v>195</v>
      </c>
      <c r="T75" s="1" t="s">
        <v>196</v>
      </c>
      <c r="U75">
        <v>10</v>
      </c>
      <c r="V75" t="s">
        <v>174</v>
      </c>
      <c r="W75" t="s">
        <v>177</v>
      </c>
      <c r="X75" t="s">
        <v>178</v>
      </c>
      <c r="Y75" t="s">
        <v>174</v>
      </c>
    </row>
    <row r="76" spans="1:25">
      <c r="A76">
        <v>13527</v>
      </c>
      <c r="B76" t="s">
        <v>25</v>
      </c>
      <c r="C76" t="str">
        <f t="shared" si="2"/>
        <v>INTEGRA Saloon</v>
      </c>
      <c r="D76" t="str">
        <f t="shared" si="3"/>
        <v>1.5</v>
      </c>
      <c r="E76" t="s">
        <v>26</v>
      </c>
      <c r="F76">
        <v>198501</v>
      </c>
      <c r="G76">
        <v>199012</v>
      </c>
      <c r="H76">
        <v>63</v>
      </c>
      <c r="I76">
        <v>85</v>
      </c>
      <c r="J76">
        <v>1488</v>
      </c>
      <c r="K76">
        <v>700323</v>
      </c>
      <c r="L76" t="s">
        <v>46</v>
      </c>
      <c r="M76" t="str">
        <f>"AC3001"</f>
        <v>AC3001</v>
      </c>
      <c r="N76" t="str">
        <f>"AC3001"</f>
        <v>AC3001</v>
      </c>
      <c r="O76" t="str">
        <f>""</f>
        <v/>
      </c>
      <c r="P76" t="s">
        <v>50</v>
      </c>
      <c r="Q76" t="str">
        <f>""</f>
        <v/>
      </c>
      <c r="U76">
        <v>13</v>
      </c>
      <c r="V76" t="s">
        <v>50</v>
      </c>
      <c r="W76" t="s">
        <v>197</v>
      </c>
      <c r="X76" t="s">
        <v>49</v>
      </c>
      <c r="Y76" t="s">
        <v>50</v>
      </c>
    </row>
    <row r="77" spans="1:25">
      <c r="A77">
        <v>13527</v>
      </c>
      <c r="B77" t="s">
        <v>25</v>
      </c>
      <c r="C77" t="str">
        <f t="shared" si="2"/>
        <v>INTEGRA Saloon</v>
      </c>
      <c r="D77" t="str">
        <f t="shared" si="3"/>
        <v>1.5</v>
      </c>
      <c r="E77" t="s">
        <v>26</v>
      </c>
      <c r="F77">
        <v>198501</v>
      </c>
      <c r="G77">
        <v>199012</v>
      </c>
      <c r="H77">
        <v>63</v>
      </c>
      <c r="I77">
        <v>85</v>
      </c>
      <c r="J77">
        <v>1488</v>
      </c>
      <c r="K77">
        <v>700324</v>
      </c>
      <c r="L77" t="s">
        <v>46</v>
      </c>
      <c r="M77" t="str">
        <f>"AC3002"</f>
        <v>AC3002</v>
      </c>
      <c r="N77" t="str">
        <f>"AC3002"</f>
        <v>AC3002</v>
      </c>
      <c r="O77" t="str">
        <f>""</f>
        <v/>
      </c>
      <c r="P77" t="s">
        <v>50</v>
      </c>
      <c r="Q77" t="str">
        <f>""</f>
        <v/>
      </c>
      <c r="U77">
        <v>13</v>
      </c>
      <c r="V77" t="s">
        <v>50</v>
      </c>
      <c r="W77" t="s">
        <v>197</v>
      </c>
      <c r="X77" t="s">
        <v>49</v>
      </c>
      <c r="Y77" t="s">
        <v>50</v>
      </c>
    </row>
    <row r="78" spans="1:25">
      <c r="A78">
        <v>13527</v>
      </c>
      <c r="B78" t="s">
        <v>25</v>
      </c>
      <c r="C78" t="str">
        <f t="shared" si="2"/>
        <v>INTEGRA Saloon</v>
      </c>
      <c r="D78" t="str">
        <f t="shared" si="3"/>
        <v>1.5</v>
      </c>
      <c r="E78" t="s">
        <v>26</v>
      </c>
      <c r="F78">
        <v>198501</v>
      </c>
      <c r="G78">
        <v>199012</v>
      </c>
      <c r="H78">
        <v>63</v>
      </c>
      <c r="I78">
        <v>85</v>
      </c>
      <c r="J78">
        <v>1488</v>
      </c>
      <c r="K78">
        <v>700325</v>
      </c>
      <c r="L78" t="s">
        <v>46</v>
      </c>
      <c r="M78" t="str">
        <f>"AC3003"</f>
        <v>AC3003</v>
      </c>
      <c r="N78" t="str">
        <f>"AC3003"</f>
        <v>AC3003</v>
      </c>
      <c r="O78" t="str">
        <f>""</f>
        <v/>
      </c>
      <c r="P78" t="s">
        <v>50</v>
      </c>
      <c r="Q78" t="str">
        <f>""</f>
        <v/>
      </c>
      <c r="U78">
        <v>13</v>
      </c>
      <c r="V78" t="s">
        <v>50</v>
      </c>
      <c r="W78" t="s">
        <v>197</v>
      </c>
      <c r="X78" t="s">
        <v>49</v>
      </c>
      <c r="Y78" t="s">
        <v>50</v>
      </c>
    </row>
    <row r="79" spans="1:25">
      <c r="A79">
        <v>13527</v>
      </c>
      <c r="B79" t="s">
        <v>25</v>
      </c>
      <c r="C79" t="str">
        <f t="shared" si="2"/>
        <v>INTEGRA Saloon</v>
      </c>
      <c r="D79" t="str">
        <f t="shared" si="3"/>
        <v>1.5</v>
      </c>
      <c r="E79" t="s">
        <v>26</v>
      </c>
      <c r="F79">
        <v>198501</v>
      </c>
      <c r="G79">
        <v>199012</v>
      </c>
      <c r="H79">
        <v>63</v>
      </c>
      <c r="I79">
        <v>85</v>
      </c>
      <c r="J79">
        <v>1488</v>
      </c>
      <c r="K79">
        <v>700326</v>
      </c>
      <c r="L79" t="s">
        <v>46</v>
      </c>
      <c r="M79" t="str">
        <f>"AC3004"</f>
        <v>AC3004</v>
      </c>
      <c r="N79" t="str">
        <f>"AC3004"</f>
        <v>AC3004</v>
      </c>
      <c r="O79" t="str">
        <f>""</f>
        <v/>
      </c>
      <c r="P79" t="s">
        <v>50</v>
      </c>
      <c r="Q79" t="str">
        <f>""</f>
        <v/>
      </c>
      <c r="U79">
        <v>13</v>
      </c>
      <c r="V79" t="s">
        <v>50</v>
      </c>
      <c r="W79" t="s">
        <v>197</v>
      </c>
      <c r="X79" t="s">
        <v>49</v>
      </c>
      <c r="Y79" t="s">
        <v>50</v>
      </c>
    </row>
    <row r="80" spans="1:25">
      <c r="A80">
        <v>13527</v>
      </c>
      <c r="B80" t="s">
        <v>25</v>
      </c>
      <c r="C80" t="str">
        <f t="shared" si="2"/>
        <v>INTEGRA Saloon</v>
      </c>
      <c r="D80" t="str">
        <f t="shared" si="3"/>
        <v>1.5</v>
      </c>
      <c r="E80" t="s">
        <v>26</v>
      </c>
      <c r="F80">
        <v>198501</v>
      </c>
      <c r="G80">
        <v>199012</v>
      </c>
      <c r="H80">
        <v>63</v>
      </c>
      <c r="I80">
        <v>85</v>
      </c>
      <c r="J80">
        <v>1488</v>
      </c>
      <c r="K80">
        <v>909887</v>
      </c>
      <c r="L80" t="s">
        <v>198</v>
      </c>
      <c r="M80" t="str">
        <f>"DA02002"</f>
        <v>DA02002</v>
      </c>
      <c r="N80" t="str">
        <f>"DA02002"</f>
        <v>DA02002</v>
      </c>
      <c r="O80" t="str">
        <f>""</f>
        <v/>
      </c>
      <c r="P80" t="s">
        <v>50</v>
      </c>
      <c r="Q80" t="str">
        <f>"5415047056968"</f>
        <v>5415047056968</v>
      </c>
      <c r="U80">
        <v>13</v>
      </c>
      <c r="V80" t="s">
        <v>50</v>
      </c>
      <c r="W80" t="s">
        <v>197</v>
      </c>
      <c r="X80" t="s">
        <v>49</v>
      </c>
      <c r="Y80" t="s">
        <v>50</v>
      </c>
    </row>
    <row r="81" spans="1:25">
      <c r="A81">
        <v>13527</v>
      </c>
      <c r="B81" t="s">
        <v>25</v>
      </c>
      <c r="C81" t="str">
        <f t="shared" si="2"/>
        <v>INTEGRA Saloon</v>
      </c>
      <c r="D81" t="str">
        <f t="shared" si="3"/>
        <v>1.5</v>
      </c>
      <c r="E81" t="s">
        <v>26</v>
      </c>
      <c r="F81">
        <v>198501</v>
      </c>
      <c r="G81">
        <v>199012</v>
      </c>
      <c r="H81">
        <v>63</v>
      </c>
      <c r="I81">
        <v>85</v>
      </c>
      <c r="J81">
        <v>1488</v>
      </c>
      <c r="K81">
        <v>909888</v>
      </c>
      <c r="L81" t="s">
        <v>198</v>
      </c>
      <c r="M81" t="str">
        <f>"DA02004"</f>
        <v>DA02004</v>
      </c>
      <c r="N81" t="str">
        <f>"DA02004"</f>
        <v>DA02004</v>
      </c>
      <c r="O81" t="str">
        <f>""</f>
        <v/>
      </c>
      <c r="P81" t="s">
        <v>50</v>
      </c>
      <c r="Q81" t="str">
        <f>"5415047056975"</f>
        <v>5415047056975</v>
      </c>
      <c r="U81">
        <v>13</v>
      </c>
      <c r="V81" t="s">
        <v>50</v>
      </c>
      <c r="W81" t="s">
        <v>197</v>
      </c>
      <c r="X81" t="s">
        <v>49</v>
      </c>
      <c r="Y81" t="s">
        <v>50</v>
      </c>
    </row>
    <row r="82" spans="1:25">
      <c r="A82">
        <v>13527</v>
      </c>
      <c r="B82" t="s">
        <v>25</v>
      </c>
      <c r="C82" t="str">
        <f t="shared" si="2"/>
        <v>INTEGRA Saloon</v>
      </c>
      <c r="D82" t="str">
        <f t="shared" si="3"/>
        <v>1.5</v>
      </c>
      <c r="E82" t="s">
        <v>26</v>
      </c>
      <c r="F82">
        <v>198501</v>
      </c>
      <c r="G82">
        <v>199012</v>
      </c>
      <c r="H82">
        <v>63</v>
      </c>
      <c r="I82">
        <v>85</v>
      </c>
      <c r="J82">
        <v>1488</v>
      </c>
      <c r="K82">
        <v>909889</v>
      </c>
      <c r="L82" t="s">
        <v>198</v>
      </c>
      <c r="M82" t="str">
        <f>"DA02006"</f>
        <v>DA02006</v>
      </c>
      <c r="N82" t="str">
        <f>"DA02006"</f>
        <v>DA02006</v>
      </c>
      <c r="O82" t="str">
        <f>""</f>
        <v/>
      </c>
      <c r="P82" t="s">
        <v>50</v>
      </c>
      <c r="Q82" t="str">
        <f>"5415047056982"</f>
        <v>5415047056982</v>
      </c>
      <c r="U82">
        <v>13</v>
      </c>
      <c r="V82" t="s">
        <v>50</v>
      </c>
      <c r="W82" t="s">
        <v>197</v>
      </c>
      <c r="X82" t="s">
        <v>49</v>
      </c>
      <c r="Y82" t="s">
        <v>50</v>
      </c>
    </row>
    <row r="83" spans="1:25">
      <c r="A83">
        <v>13527</v>
      </c>
      <c r="B83" t="s">
        <v>25</v>
      </c>
      <c r="C83" t="str">
        <f t="shared" si="2"/>
        <v>INTEGRA Saloon</v>
      </c>
      <c r="D83" t="str">
        <f t="shared" si="3"/>
        <v>1.5</v>
      </c>
      <c r="E83" t="s">
        <v>26</v>
      </c>
      <c r="F83">
        <v>198501</v>
      </c>
      <c r="G83">
        <v>199012</v>
      </c>
      <c r="H83">
        <v>63</v>
      </c>
      <c r="I83">
        <v>85</v>
      </c>
      <c r="J83">
        <v>1488</v>
      </c>
      <c r="K83">
        <v>909890</v>
      </c>
      <c r="L83" t="s">
        <v>198</v>
      </c>
      <c r="M83" t="str">
        <f>"DA02008"</f>
        <v>DA02008</v>
      </c>
      <c r="N83" t="str">
        <f>"DA02008"</f>
        <v>DA02008</v>
      </c>
      <c r="O83" t="str">
        <f>""</f>
        <v/>
      </c>
      <c r="P83" t="s">
        <v>50</v>
      </c>
      <c r="Q83" t="str">
        <f>"5415047056999"</f>
        <v>5415047056999</v>
      </c>
      <c r="U83">
        <v>13</v>
      </c>
      <c r="V83" t="s">
        <v>50</v>
      </c>
      <c r="W83" t="s">
        <v>197</v>
      </c>
      <c r="X83" t="s">
        <v>49</v>
      </c>
      <c r="Y83" t="s">
        <v>50</v>
      </c>
    </row>
    <row r="84" spans="1:25">
      <c r="A84">
        <v>13527</v>
      </c>
      <c r="B84" t="s">
        <v>25</v>
      </c>
      <c r="C84" t="str">
        <f t="shared" si="2"/>
        <v>INTEGRA Saloon</v>
      </c>
      <c r="D84" t="str">
        <f t="shared" si="3"/>
        <v>1.5</v>
      </c>
      <c r="E84" t="s">
        <v>26</v>
      </c>
      <c r="F84">
        <v>198501</v>
      </c>
      <c r="G84">
        <v>199012</v>
      </c>
      <c r="H84">
        <v>63</v>
      </c>
      <c r="I84">
        <v>85</v>
      </c>
      <c r="J84">
        <v>1488</v>
      </c>
      <c r="K84">
        <v>728727</v>
      </c>
      <c r="L84" t="s">
        <v>199</v>
      </c>
      <c r="M84" t="str">
        <f>"989926"</f>
        <v>989926</v>
      </c>
      <c r="N84" t="str">
        <f>"989926"</f>
        <v>989926</v>
      </c>
      <c r="O84" t="str">
        <f>""</f>
        <v/>
      </c>
      <c r="P84" t="s">
        <v>200</v>
      </c>
      <c r="Q84" t="str">
        <f>"8717012023973"</f>
        <v>8717012023973</v>
      </c>
      <c r="R84" t="s">
        <v>201</v>
      </c>
      <c r="T84" t="s">
        <v>202</v>
      </c>
      <c r="U84">
        <v>48</v>
      </c>
      <c r="V84" t="s">
        <v>200</v>
      </c>
      <c r="W84" t="s">
        <v>203</v>
      </c>
      <c r="X84" t="s">
        <v>204</v>
      </c>
      <c r="Y84" t="s">
        <v>205</v>
      </c>
    </row>
    <row r="85" spans="1:25">
      <c r="A85">
        <v>13527</v>
      </c>
      <c r="B85" t="s">
        <v>25</v>
      </c>
      <c r="C85" t="str">
        <f t="shared" si="2"/>
        <v>INTEGRA Saloon</v>
      </c>
      <c r="D85" t="str">
        <f t="shared" si="3"/>
        <v>1.5</v>
      </c>
      <c r="E85" t="s">
        <v>26</v>
      </c>
      <c r="F85">
        <v>198501</v>
      </c>
      <c r="G85">
        <v>199012</v>
      </c>
      <c r="H85">
        <v>63</v>
      </c>
      <c r="I85">
        <v>85</v>
      </c>
      <c r="J85">
        <v>1488</v>
      </c>
      <c r="K85">
        <v>3032402</v>
      </c>
      <c r="L85" t="s">
        <v>33</v>
      </c>
      <c r="M85" t="str">
        <f>"J4844008"</f>
        <v>J4844008</v>
      </c>
      <c r="N85" t="str">
        <f>"J4844008"</f>
        <v>J4844008</v>
      </c>
      <c r="O85" t="str">
        <f>""</f>
        <v/>
      </c>
      <c r="P85" t="s">
        <v>206</v>
      </c>
      <c r="Q85" t="str">
        <f>"8711768098988"</f>
        <v>8711768098988</v>
      </c>
      <c r="R85" t="s">
        <v>207</v>
      </c>
      <c r="S85" t="s">
        <v>208</v>
      </c>
      <c r="T85" s="1" t="s">
        <v>209</v>
      </c>
      <c r="U85">
        <v>51</v>
      </c>
      <c r="V85" t="s">
        <v>206</v>
      </c>
      <c r="W85" t="s">
        <v>210</v>
      </c>
      <c r="X85" t="s">
        <v>211</v>
      </c>
      <c r="Y85" t="s">
        <v>212</v>
      </c>
    </row>
    <row r="86" spans="1:25">
      <c r="A86">
        <v>13527</v>
      </c>
      <c r="B86" t="s">
        <v>25</v>
      </c>
      <c r="C86" t="str">
        <f t="shared" si="2"/>
        <v>INTEGRA Saloon</v>
      </c>
      <c r="D86" t="str">
        <f t="shared" si="3"/>
        <v>1.5</v>
      </c>
      <c r="E86" t="s">
        <v>26</v>
      </c>
      <c r="F86">
        <v>198501</v>
      </c>
      <c r="G86">
        <v>199012</v>
      </c>
      <c r="H86">
        <v>63</v>
      </c>
      <c r="I86">
        <v>85</v>
      </c>
      <c r="J86">
        <v>1488</v>
      </c>
      <c r="K86">
        <v>3032404</v>
      </c>
      <c r="L86" t="s">
        <v>33</v>
      </c>
      <c r="M86" t="str">
        <f>"J4844011"</f>
        <v>J4844011</v>
      </c>
      <c r="N86" t="str">
        <f>"J4844011"</f>
        <v>J4844011</v>
      </c>
      <c r="O86" t="str">
        <f>""</f>
        <v/>
      </c>
      <c r="P86" t="s">
        <v>206</v>
      </c>
      <c r="Q86" t="str">
        <f>"8711768137069"</f>
        <v>8711768137069</v>
      </c>
      <c r="R86" t="s">
        <v>213</v>
      </c>
      <c r="S86" t="s">
        <v>214</v>
      </c>
      <c r="T86" s="1" t="s">
        <v>215</v>
      </c>
      <c r="U86">
        <v>51</v>
      </c>
      <c r="V86" t="s">
        <v>206</v>
      </c>
      <c r="W86" t="s">
        <v>210</v>
      </c>
      <c r="X86" t="s">
        <v>211</v>
      </c>
      <c r="Y86" t="s">
        <v>212</v>
      </c>
    </row>
    <row r="87" spans="1:25">
      <c r="A87">
        <v>13527</v>
      </c>
      <c r="B87" t="s">
        <v>25</v>
      </c>
      <c r="C87" t="str">
        <f t="shared" si="2"/>
        <v>INTEGRA Saloon</v>
      </c>
      <c r="D87" t="str">
        <f t="shared" si="3"/>
        <v>1.5</v>
      </c>
      <c r="E87" t="s">
        <v>26</v>
      </c>
      <c r="F87">
        <v>198501</v>
      </c>
      <c r="G87">
        <v>199012</v>
      </c>
      <c r="H87">
        <v>63</v>
      </c>
      <c r="I87">
        <v>85</v>
      </c>
      <c r="J87">
        <v>1488</v>
      </c>
      <c r="K87">
        <v>3956470</v>
      </c>
      <c r="L87" t="s">
        <v>27</v>
      </c>
      <c r="M87" t="str">
        <f>"14528004"</f>
        <v>14528004</v>
      </c>
      <c r="N87" t="str">
        <f>"1452-8004"</f>
        <v>1452-8004</v>
      </c>
      <c r="O87" t="str">
        <f>""</f>
        <v/>
      </c>
      <c r="P87" t="s">
        <v>206</v>
      </c>
      <c r="Q87" t="str">
        <f>"8718993060919"</f>
        <v>8718993060919</v>
      </c>
      <c r="R87" t="s">
        <v>207</v>
      </c>
      <c r="S87" t="s">
        <v>216</v>
      </c>
      <c r="T87" s="1" t="s">
        <v>217</v>
      </c>
      <c r="U87">
        <v>51</v>
      </c>
      <c r="V87" t="s">
        <v>206</v>
      </c>
      <c r="W87" t="s">
        <v>210</v>
      </c>
      <c r="X87" t="s">
        <v>211</v>
      </c>
      <c r="Y87" t="s">
        <v>212</v>
      </c>
    </row>
    <row r="88" spans="1:25">
      <c r="A88">
        <v>13527</v>
      </c>
      <c r="B88" t="s">
        <v>25</v>
      </c>
      <c r="C88" t="str">
        <f t="shared" si="2"/>
        <v>INTEGRA Saloon</v>
      </c>
      <c r="D88" t="str">
        <f t="shared" si="3"/>
        <v>1.5</v>
      </c>
      <c r="E88" t="s">
        <v>26</v>
      </c>
      <c r="F88">
        <v>198501</v>
      </c>
      <c r="G88">
        <v>199012</v>
      </c>
      <c r="H88">
        <v>63</v>
      </c>
      <c r="I88">
        <v>85</v>
      </c>
      <c r="J88">
        <v>1488</v>
      </c>
      <c r="K88">
        <v>957005</v>
      </c>
      <c r="L88" t="s">
        <v>218</v>
      </c>
      <c r="M88" t="str">
        <f>"PRS0178"</f>
        <v>PRS0178</v>
      </c>
      <c r="N88" t="str">
        <f>"PRS0178"</f>
        <v>PRS0178</v>
      </c>
      <c r="O88" t="str">
        <f>""</f>
        <v/>
      </c>
      <c r="P88" t="s">
        <v>219</v>
      </c>
      <c r="Q88" t="str">
        <f>""</f>
        <v/>
      </c>
      <c r="R88" t="s">
        <v>220</v>
      </c>
      <c r="S88" t="s">
        <v>221</v>
      </c>
      <c r="T88" s="1" t="s">
        <v>222</v>
      </c>
      <c r="U88">
        <v>70</v>
      </c>
      <c r="V88" t="s">
        <v>219</v>
      </c>
      <c r="W88" t="s">
        <v>223</v>
      </c>
      <c r="X88" t="s">
        <v>224</v>
      </c>
    </row>
    <row r="89" spans="1:25">
      <c r="A89">
        <v>13527</v>
      </c>
      <c r="B89" t="s">
        <v>25</v>
      </c>
      <c r="C89" t="str">
        <f t="shared" si="2"/>
        <v>INTEGRA Saloon</v>
      </c>
      <c r="D89" t="str">
        <f t="shared" si="3"/>
        <v>1.5</v>
      </c>
      <c r="E89" t="s">
        <v>26</v>
      </c>
      <c r="F89">
        <v>198501</v>
      </c>
      <c r="G89">
        <v>199012</v>
      </c>
      <c r="H89">
        <v>63</v>
      </c>
      <c r="I89">
        <v>85</v>
      </c>
      <c r="J89">
        <v>1488</v>
      </c>
      <c r="K89">
        <v>1677515</v>
      </c>
      <c r="L89" t="s">
        <v>225</v>
      </c>
      <c r="M89" t="str">
        <f>"361605J"</f>
        <v>361605J</v>
      </c>
      <c r="N89" t="str">
        <f>"361605J"</f>
        <v>361605J</v>
      </c>
      <c r="O89" t="str">
        <f>"361605"</f>
        <v>361605</v>
      </c>
      <c r="P89" t="s">
        <v>219</v>
      </c>
      <c r="Q89" t="str">
        <f>""</f>
        <v/>
      </c>
      <c r="R89" t="s">
        <v>226</v>
      </c>
      <c r="T89" s="1" t="s">
        <v>227</v>
      </c>
      <c r="U89">
        <v>70</v>
      </c>
      <c r="V89" t="s">
        <v>219</v>
      </c>
      <c r="W89" t="s">
        <v>223</v>
      </c>
      <c r="X89" t="s">
        <v>224</v>
      </c>
    </row>
    <row r="90" spans="1:25">
      <c r="A90">
        <v>13527</v>
      </c>
      <c r="B90" t="s">
        <v>25</v>
      </c>
      <c r="C90" t="str">
        <f t="shared" si="2"/>
        <v>INTEGRA Saloon</v>
      </c>
      <c r="D90" t="str">
        <f t="shared" si="3"/>
        <v>1.5</v>
      </c>
      <c r="E90" t="s">
        <v>26</v>
      </c>
      <c r="F90">
        <v>198501</v>
      </c>
      <c r="G90">
        <v>199012</v>
      </c>
      <c r="H90">
        <v>63</v>
      </c>
      <c r="I90">
        <v>85</v>
      </c>
      <c r="J90">
        <v>1488</v>
      </c>
      <c r="K90">
        <v>1820665</v>
      </c>
      <c r="L90" t="s">
        <v>228</v>
      </c>
      <c r="M90" t="str">
        <f>"FSB220"</f>
        <v>FSB220</v>
      </c>
      <c r="N90" t="str">
        <f>"FSB220"</f>
        <v>FSB220</v>
      </c>
      <c r="O90" t="str">
        <f>""</f>
        <v/>
      </c>
      <c r="P90" t="s">
        <v>219</v>
      </c>
      <c r="Q90" t="str">
        <f>"5016687024302"</f>
        <v>5016687024302</v>
      </c>
      <c r="R90" t="s">
        <v>229</v>
      </c>
      <c r="T90" s="1" t="s">
        <v>230</v>
      </c>
      <c r="U90">
        <v>70</v>
      </c>
      <c r="V90" t="s">
        <v>219</v>
      </c>
      <c r="W90" t="s">
        <v>223</v>
      </c>
      <c r="X90" t="s">
        <v>224</v>
      </c>
    </row>
    <row r="91" spans="1:25">
      <c r="A91">
        <v>13527</v>
      </c>
      <c r="B91" t="s">
        <v>25</v>
      </c>
      <c r="C91" t="str">
        <f t="shared" si="2"/>
        <v>INTEGRA Saloon</v>
      </c>
      <c r="D91" t="str">
        <f t="shared" si="3"/>
        <v>1.5</v>
      </c>
      <c r="E91" t="s">
        <v>26</v>
      </c>
      <c r="F91">
        <v>198501</v>
      </c>
      <c r="G91">
        <v>199012</v>
      </c>
      <c r="H91">
        <v>63</v>
      </c>
      <c r="I91">
        <v>85</v>
      </c>
      <c r="J91">
        <v>1488</v>
      </c>
      <c r="K91">
        <v>1895866</v>
      </c>
      <c r="L91" t="s">
        <v>231</v>
      </c>
      <c r="M91" t="str">
        <f>"S28504"</f>
        <v>S28504</v>
      </c>
      <c r="N91" t="str">
        <f>"S 28 504"</f>
        <v>S 28 504</v>
      </c>
      <c r="O91" t="str">
        <f>""</f>
        <v/>
      </c>
      <c r="P91" t="s">
        <v>219</v>
      </c>
      <c r="Q91" t="str">
        <f>"8432509641255"</f>
        <v>8432509641255</v>
      </c>
      <c r="R91" t="s">
        <v>232</v>
      </c>
      <c r="S91" t="s">
        <v>221</v>
      </c>
      <c r="T91" s="1" t="s">
        <v>233</v>
      </c>
      <c r="U91">
        <v>70</v>
      </c>
      <c r="V91" t="s">
        <v>219</v>
      </c>
      <c r="W91" t="s">
        <v>223</v>
      </c>
      <c r="X91" t="s">
        <v>224</v>
      </c>
    </row>
    <row r="92" spans="1:25">
      <c r="A92">
        <v>13527</v>
      </c>
      <c r="B92" t="s">
        <v>25</v>
      </c>
      <c r="C92" t="str">
        <f t="shared" si="2"/>
        <v>INTEGRA Saloon</v>
      </c>
      <c r="D92" t="str">
        <f t="shared" si="3"/>
        <v>1.5</v>
      </c>
      <c r="E92" t="s">
        <v>26</v>
      </c>
      <c r="F92">
        <v>198501</v>
      </c>
      <c r="G92">
        <v>199012</v>
      </c>
      <c r="H92">
        <v>63</v>
      </c>
      <c r="I92">
        <v>85</v>
      </c>
      <c r="J92">
        <v>1488</v>
      </c>
      <c r="K92">
        <v>2202151</v>
      </c>
      <c r="L92" t="s">
        <v>181</v>
      </c>
      <c r="M92" t="str">
        <f>"810040435"</f>
        <v>810040435</v>
      </c>
      <c r="N92" t="str">
        <f>"8100 40435"</f>
        <v>8100 40435</v>
      </c>
      <c r="O92" t="str">
        <f>""</f>
        <v/>
      </c>
      <c r="P92" t="s">
        <v>219</v>
      </c>
      <c r="Q92" t="str">
        <f>""</f>
        <v/>
      </c>
      <c r="S92" t="s">
        <v>221</v>
      </c>
      <c r="U92">
        <v>70</v>
      </c>
      <c r="V92" t="s">
        <v>219</v>
      </c>
      <c r="W92" t="s">
        <v>223</v>
      </c>
      <c r="X92" t="s">
        <v>224</v>
      </c>
    </row>
    <row r="93" spans="1:25">
      <c r="A93">
        <v>13527</v>
      </c>
      <c r="B93" t="s">
        <v>25</v>
      </c>
      <c r="C93" t="str">
        <f t="shared" si="2"/>
        <v>INTEGRA Saloon</v>
      </c>
      <c r="D93" t="str">
        <f t="shared" si="3"/>
        <v>1.5</v>
      </c>
      <c r="E93" t="s">
        <v>26</v>
      </c>
      <c r="F93">
        <v>198501</v>
      </c>
      <c r="G93">
        <v>199012</v>
      </c>
      <c r="H93">
        <v>63</v>
      </c>
      <c r="I93">
        <v>85</v>
      </c>
      <c r="J93">
        <v>1488</v>
      </c>
      <c r="K93">
        <v>2311641</v>
      </c>
      <c r="L93" t="s">
        <v>234</v>
      </c>
      <c r="M93" t="str">
        <f>"530151"</f>
        <v>530151</v>
      </c>
      <c r="N93" t="str">
        <f>"53-0151"</f>
        <v>53-0151</v>
      </c>
      <c r="O93" t="str">
        <f>""</f>
        <v/>
      </c>
      <c r="P93" t="s">
        <v>219</v>
      </c>
      <c r="Q93" t="str">
        <f>""</f>
        <v/>
      </c>
      <c r="R93" t="s">
        <v>220</v>
      </c>
      <c r="S93" t="s">
        <v>221</v>
      </c>
      <c r="T93" s="1" t="s">
        <v>235</v>
      </c>
      <c r="U93">
        <v>70</v>
      </c>
      <c r="V93" t="s">
        <v>219</v>
      </c>
      <c r="W93" t="s">
        <v>223</v>
      </c>
      <c r="X93" t="s">
        <v>224</v>
      </c>
    </row>
    <row r="94" spans="1:25">
      <c r="A94">
        <v>13527</v>
      </c>
      <c r="B94" t="s">
        <v>25</v>
      </c>
      <c r="C94" t="str">
        <f t="shared" si="2"/>
        <v>INTEGRA Saloon</v>
      </c>
      <c r="D94" t="str">
        <f t="shared" si="3"/>
        <v>1.5</v>
      </c>
      <c r="E94" t="s">
        <v>26</v>
      </c>
      <c r="F94">
        <v>198501</v>
      </c>
      <c r="G94">
        <v>199012</v>
      </c>
      <c r="H94">
        <v>63</v>
      </c>
      <c r="I94">
        <v>85</v>
      </c>
      <c r="J94">
        <v>1488</v>
      </c>
      <c r="K94">
        <v>2784767</v>
      </c>
      <c r="L94" t="s">
        <v>236</v>
      </c>
      <c r="M94" t="str">
        <f>"04820"</f>
        <v>04820</v>
      </c>
      <c r="N94" t="str">
        <f>"04820"</f>
        <v>04820</v>
      </c>
      <c r="O94" t="str">
        <f>"84820"</f>
        <v>84820</v>
      </c>
      <c r="P94" t="s">
        <v>219</v>
      </c>
      <c r="Q94" t="str">
        <f>"8032532039328"</f>
        <v>8032532039328</v>
      </c>
      <c r="R94" t="s">
        <v>237</v>
      </c>
      <c r="S94" t="s">
        <v>221</v>
      </c>
      <c r="T94" s="1" t="s">
        <v>238</v>
      </c>
      <c r="U94">
        <v>70</v>
      </c>
      <c r="V94" t="s">
        <v>219</v>
      </c>
      <c r="W94" t="s">
        <v>223</v>
      </c>
      <c r="X94" t="s">
        <v>224</v>
      </c>
    </row>
    <row r="95" spans="1:25">
      <c r="A95">
        <v>13527</v>
      </c>
      <c r="B95" t="s">
        <v>25</v>
      </c>
      <c r="C95" t="str">
        <f t="shared" si="2"/>
        <v>INTEGRA Saloon</v>
      </c>
      <c r="D95" t="str">
        <f t="shared" si="3"/>
        <v>1.5</v>
      </c>
      <c r="E95" t="s">
        <v>26</v>
      </c>
      <c r="F95">
        <v>198501</v>
      </c>
      <c r="G95">
        <v>199012</v>
      </c>
      <c r="H95">
        <v>63</v>
      </c>
      <c r="I95">
        <v>85</v>
      </c>
      <c r="J95">
        <v>1488</v>
      </c>
      <c r="K95">
        <v>2806454</v>
      </c>
      <c r="L95" t="s">
        <v>239</v>
      </c>
      <c r="M95" t="str">
        <f>"044008"</f>
        <v>044008</v>
      </c>
      <c r="N95" t="str">
        <f>"044.008"</f>
        <v>044.008</v>
      </c>
      <c r="O95" t="str">
        <f>""</f>
        <v/>
      </c>
      <c r="P95" t="s">
        <v>219</v>
      </c>
      <c r="Q95" t="str">
        <f>""</f>
        <v/>
      </c>
      <c r="R95" t="s">
        <v>240</v>
      </c>
      <c r="S95" t="s">
        <v>221</v>
      </c>
      <c r="T95" s="1" t="s">
        <v>241</v>
      </c>
      <c r="U95">
        <v>70</v>
      </c>
      <c r="V95" t="s">
        <v>219</v>
      </c>
      <c r="W95" t="s">
        <v>223</v>
      </c>
      <c r="X95" t="s">
        <v>224</v>
      </c>
    </row>
    <row r="96" spans="1:25">
      <c r="A96">
        <v>13527</v>
      </c>
      <c r="B96" t="s">
        <v>25</v>
      </c>
      <c r="C96" t="str">
        <f t="shared" si="2"/>
        <v>INTEGRA Saloon</v>
      </c>
      <c r="D96" t="str">
        <f t="shared" si="3"/>
        <v>1.5</v>
      </c>
      <c r="E96" t="s">
        <v>26</v>
      </c>
      <c r="F96">
        <v>198501</v>
      </c>
      <c r="G96">
        <v>199012</v>
      </c>
      <c r="H96">
        <v>63</v>
      </c>
      <c r="I96">
        <v>85</v>
      </c>
      <c r="J96">
        <v>1488</v>
      </c>
      <c r="K96">
        <v>2992756</v>
      </c>
      <c r="L96" t="s">
        <v>242</v>
      </c>
      <c r="M96" t="str">
        <f>"N1361"</f>
        <v>N1361</v>
      </c>
      <c r="N96" t="str">
        <f>"N1361"</f>
        <v>N1361</v>
      </c>
      <c r="O96" t="str">
        <f>""</f>
        <v/>
      </c>
      <c r="P96" t="s">
        <v>219</v>
      </c>
      <c r="Q96" t="str">
        <f>"8426345515856"</f>
        <v>8426345515856</v>
      </c>
      <c r="R96" t="s">
        <v>229</v>
      </c>
      <c r="T96" s="1" t="s">
        <v>243</v>
      </c>
      <c r="U96">
        <v>70</v>
      </c>
      <c r="V96" t="s">
        <v>219</v>
      </c>
      <c r="W96" t="s">
        <v>223</v>
      </c>
      <c r="X96" t="s">
        <v>224</v>
      </c>
    </row>
    <row r="97" spans="1:24">
      <c r="A97">
        <v>13527</v>
      </c>
      <c r="B97" t="s">
        <v>25</v>
      </c>
      <c r="C97" t="str">
        <f t="shared" si="2"/>
        <v>INTEGRA Saloon</v>
      </c>
      <c r="D97" t="str">
        <f t="shared" si="3"/>
        <v>1.5</v>
      </c>
      <c r="E97" t="s">
        <v>26</v>
      </c>
      <c r="F97">
        <v>198501</v>
      </c>
      <c r="G97">
        <v>199012</v>
      </c>
      <c r="H97">
        <v>63</v>
      </c>
      <c r="I97">
        <v>85</v>
      </c>
      <c r="J97">
        <v>1488</v>
      </c>
      <c r="K97">
        <v>3030583</v>
      </c>
      <c r="L97" t="s">
        <v>33</v>
      </c>
      <c r="M97" t="str">
        <f>"J3504009"</f>
        <v>J3504009</v>
      </c>
      <c r="N97" t="str">
        <f>"J3504009"</f>
        <v>J3504009</v>
      </c>
      <c r="O97" t="str">
        <f>""</f>
        <v/>
      </c>
      <c r="P97" t="s">
        <v>219</v>
      </c>
      <c r="Q97" t="str">
        <f>"8711768054830"</f>
        <v>8711768054830</v>
      </c>
      <c r="R97" t="s">
        <v>244</v>
      </c>
      <c r="S97" t="s">
        <v>221</v>
      </c>
      <c r="T97" s="1" t="s">
        <v>245</v>
      </c>
      <c r="U97">
        <v>70</v>
      </c>
      <c r="V97" t="s">
        <v>219</v>
      </c>
      <c r="W97" t="s">
        <v>223</v>
      </c>
      <c r="X97" t="s">
        <v>224</v>
      </c>
    </row>
    <row r="98" spans="1:24">
      <c r="A98">
        <v>13527</v>
      </c>
      <c r="B98" t="s">
        <v>25</v>
      </c>
      <c r="C98" t="str">
        <f t="shared" si="2"/>
        <v>INTEGRA Saloon</v>
      </c>
      <c r="D98" t="str">
        <f t="shared" si="3"/>
        <v>1.5</v>
      </c>
      <c r="E98" t="s">
        <v>26</v>
      </c>
      <c r="F98">
        <v>198501</v>
      </c>
      <c r="G98">
        <v>199012</v>
      </c>
      <c r="H98">
        <v>63</v>
      </c>
      <c r="I98">
        <v>85</v>
      </c>
      <c r="J98">
        <v>1488</v>
      </c>
      <c r="K98">
        <v>3234712</v>
      </c>
      <c r="L98" t="s">
        <v>199</v>
      </c>
      <c r="M98" t="str">
        <f>"04820"</f>
        <v>04820</v>
      </c>
      <c r="N98" t="str">
        <f>"04820"</f>
        <v>04820</v>
      </c>
      <c r="O98" t="str">
        <f>""</f>
        <v/>
      </c>
      <c r="P98" t="s">
        <v>219</v>
      </c>
      <c r="Q98" t="str">
        <f>""</f>
        <v/>
      </c>
      <c r="R98" t="s">
        <v>237</v>
      </c>
      <c r="S98" t="s">
        <v>221</v>
      </c>
      <c r="T98" s="1" t="s">
        <v>246</v>
      </c>
      <c r="U98">
        <v>70</v>
      </c>
      <c r="V98" t="s">
        <v>219</v>
      </c>
      <c r="W98" t="s">
        <v>223</v>
      </c>
      <c r="X98" t="s">
        <v>224</v>
      </c>
    </row>
    <row r="99" spans="1:24">
      <c r="A99">
        <v>13527</v>
      </c>
      <c r="B99" t="s">
        <v>25</v>
      </c>
      <c r="C99" t="str">
        <f t="shared" si="2"/>
        <v>INTEGRA Saloon</v>
      </c>
      <c r="D99" t="str">
        <f t="shared" si="3"/>
        <v>1.5</v>
      </c>
      <c r="E99" t="s">
        <v>26</v>
      </c>
      <c r="F99">
        <v>198501</v>
      </c>
      <c r="G99">
        <v>199012</v>
      </c>
      <c r="H99">
        <v>63</v>
      </c>
      <c r="I99">
        <v>85</v>
      </c>
      <c r="J99">
        <v>1488</v>
      </c>
      <c r="K99">
        <v>3298329</v>
      </c>
      <c r="L99" t="s">
        <v>247</v>
      </c>
      <c r="M99" t="str">
        <f>"1044008"</f>
        <v>1044008</v>
      </c>
      <c r="N99" t="str">
        <f>"1044.008"</f>
        <v>1044.008</v>
      </c>
      <c r="O99" t="str">
        <f>""</f>
        <v/>
      </c>
      <c r="P99" t="s">
        <v>219</v>
      </c>
      <c r="Q99" t="str">
        <f>""</f>
        <v/>
      </c>
      <c r="R99" t="s">
        <v>240</v>
      </c>
      <c r="S99" t="s">
        <v>221</v>
      </c>
      <c r="T99" s="1" t="s">
        <v>241</v>
      </c>
      <c r="U99">
        <v>70</v>
      </c>
      <c r="V99" t="s">
        <v>219</v>
      </c>
      <c r="W99" t="s">
        <v>223</v>
      </c>
      <c r="X99" t="s">
        <v>224</v>
      </c>
    </row>
    <row r="100" spans="1:24">
      <c r="A100">
        <v>13527</v>
      </c>
      <c r="B100" t="s">
        <v>25</v>
      </c>
      <c r="C100" t="str">
        <f t="shared" si="2"/>
        <v>INTEGRA Saloon</v>
      </c>
      <c r="D100" t="str">
        <f t="shared" si="3"/>
        <v>1.5</v>
      </c>
      <c r="E100" t="s">
        <v>26</v>
      </c>
      <c r="F100">
        <v>198501</v>
      </c>
      <c r="G100">
        <v>199012</v>
      </c>
      <c r="H100">
        <v>63</v>
      </c>
      <c r="I100">
        <v>85</v>
      </c>
      <c r="J100">
        <v>1488</v>
      </c>
      <c r="K100">
        <v>3366099</v>
      </c>
      <c r="L100" t="s">
        <v>248</v>
      </c>
      <c r="M100" t="str">
        <f>"153151"</f>
        <v>153151</v>
      </c>
      <c r="N100" t="str">
        <f>"153-151"</f>
        <v>153-151</v>
      </c>
      <c r="O100" t="str">
        <f>""</f>
        <v/>
      </c>
      <c r="P100" t="s">
        <v>219</v>
      </c>
      <c r="Q100" t="str">
        <f>""</f>
        <v/>
      </c>
      <c r="R100" t="s">
        <v>220</v>
      </c>
      <c r="S100" t="s">
        <v>221</v>
      </c>
      <c r="T100" s="1" t="s">
        <v>249</v>
      </c>
      <c r="U100">
        <v>70</v>
      </c>
      <c r="V100" t="s">
        <v>219</v>
      </c>
      <c r="W100" t="s">
        <v>223</v>
      </c>
      <c r="X100" t="s">
        <v>224</v>
      </c>
    </row>
    <row r="101" spans="1:24">
      <c r="A101">
        <v>13527</v>
      </c>
      <c r="B101" t="s">
        <v>25</v>
      </c>
      <c r="C101" t="str">
        <f t="shared" si="2"/>
        <v>INTEGRA Saloon</v>
      </c>
      <c r="D101" t="str">
        <f t="shared" si="3"/>
        <v>1.5</v>
      </c>
      <c r="E101" t="s">
        <v>26</v>
      </c>
      <c r="F101">
        <v>198501</v>
      </c>
      <c r="G101">
        <v>199012</v>
      </c>
      <c r="H101">
        <v>63</v>
      </c>
      <c r="I101">
        <v>85</v>
      </c>
      <c r="J101">
        <v>1488</v>
      </c>
      <c r="K101">
        <v>3963748</v>
      </c>
      <c r="L101" t="s">
        <v>27</v>
      </c>
      <c r="M101" t="str">
        <f>"H04601"</f>
        <v>H04601</v>
      </c>
      <c r="N101" t="str">
        <f>"H046-01"</f>
        <v>H046-01</v>
      </c>
      <c r="O101" t="str">
        <f>""</f>
        <v/>
      </c>
      <c r="P101" t="s">
        <v>219</v>
      </c>
      <c r="Q101" t="str">
        <f>"8718993207031"</f>
        <v>8718993207031</v>
      </c>
      <c r="R101" t="s">
        <v>250</v>
      </c>
      <c r="T101" s="1" t="s">
        <v>251</v>
      </c>
      <c r="U101">
        <v>70</v>
      </c>
      <c r="V101" t="s">
        <v>219</v>
      </c>
      <c r="W101" t="s">
        <v>223</v>
      </c>
      <c r="X101" t="s">
        <v>224</v>
      </c>
    </row>
    <row r="102" spans="1:24">
      <c r="A102">
        <v>13527</v>
      </c>
      <c r="B102" t="s">
        <v>25</v>
      </c>
      <c r="C102" t="str">
        <f t="shared" si="2"/>
        <v>INTEGRA Saloon</v>
      </c>
      <c r="D102" t="str">
        <f t="shared" si="3"/>
        <v>1.5</v>
      </c>
      <c r="E102" t="s">
        <v>26</v>
      </c>
      <c r="F102">
        <v>198501</v>
      </c>
      <c r="G102">
        <v>199012</v>
      </c>
      <c r="H102">
        <v>63</v>
      </c>
      <c r="I102">
        <v>85</v>
      </c>
      <c r="J102">
        <v>1488</v>
      </c>
      <c r="K102">
        <v>4088391</v>
      </c>
      <c r="L102" t="s">
        <v>252</v>
      </c>
      <c r="M102" t="str">
        <f>"S047"</f>
        <v>S047</v>
      </c>
      <c r="N102" t="str">
        <f>"S047"</f>
        <v>S047</v>
      </c>
      <c r="O102" t="str">
        <f>""</f>
        <v/>
      </c>
      <c r="P102" t="s">
        <v>219</v>
      </c>
      <c r="Q102" t="str">
        <f>"8016431200478"</f>
        <v>8016431200478</v>
      </c>
      <c r="R102" t="s">
        <v>253</v>
      </c>
      <c r="T102" s="1" t="s">
        <v>254</v>
      </c>
      <c r="U102">
        <v>70</v>
      </c>
      <c r="V102" t="s">
        <v>219</v>
      </c>
      <c r="W102" t="s">
        <v>223</v>
      </c>
      <c r="X102" t="s">
        <v>224</v>
      </c>
    </row>
    <row r="103" spans="1:24">
      <c r="A103">
        <v>13527</v>
      </c>
      <c r="B103" t="s">
        <v>25</v>
      </c>
      <c r="C103" t="str">
        <f t="shared" si="2"/>
        <v>INTEGRA Saloon</v>
      </c>
      <c r="D103" t="str">
        <f t="shared" si="3"/>
        <v>1.5</v>
      </c>
      <c r="E103" t="s">
        <v>26</v>
      </c>
      <c r="F103">
        <v>198501</v>
      </c>
      <c r="G103">
        <v>199012</v>
      </c>
      <c r="H103">
        <v>63</v>
      </c>
      <c r="I103">
        <v>85</v>
      </c>
      <c r="J103">
        <v>1488</v>
      </c>
      <c r="K103">
        <v>4197931</v>
      </c>
      <c r="L103" t="s">
        <v>255</v>
      </c>
      <c r="M103" t="str">
        <f>"C04003ABE"</f>
        <v>C04003ABE</v>
      </c>
      <c r="N103" t="str">
        <f>"C04003ABE"</f>
        <v>C04003ABE</v>
      </c>
      <c r="O103" t="str">
        <f>""</f>
        <v/>
      </c>
      <c r="P103" t="s">
        <v>219</v>
      </c>
      <c r="Q103" t="str">
        <f>""</f>
        <v/>
      </c>
      <c r="R103" t="s">
        <v>256</v>
      </c>
      <c r="T103" s="1" t="s">
        <v>257</v>
      </c>
      <c r="U103">
        <v>70</v>
      </c>
      <c r="V103" t="s">
        <v>219</v>
      </c>
      <c r="W103" t="s">
        <v>223</v>
      </c>
      <c r="X103" t="s">
        <v>224</v>
      </c>
    </row>
    <row r="104" spans="1:24">
      <c r="A104">
        <v>13527</v>
      </c>
      <c r="B104" t="s">
        <v>25</v>
      </c>
      <c r="C104" t="str">
        <f t="shared" si="2"/>
        <v>INTEGRA Saloon</v>
      </c>
      <c r="D104" t="str">
        <f t="shared" si="3"/>
        <v>1.5</v>
      </c>
      <c r="E104" t="s">
        <v>26</v>
      </c>
      <c r="F104">
        <v>198501</v>
      </c>
      <c r="G104">
        <v>199012</v>
      </c>
      <c r="H104">
        <v>63</v>
      </c>
      <c r="I104">
        <v>85</v>
      </c>
      <c r="J104">
        <v>1488</v>
      </c>
      <c r="K104">
        <v>4959296</v>
      </c>
      <c r="L104" t="s">
        <v>258</v>
      </c>
      <c r="M104" t="str">
        <f>"GF0702"</f>
        <v>GF0702</v>
      </c>
      <c r="N104" t="str">
        <f>"GF0702"</f>
        <v>GF0702</v>
      </c>
      <c r="O104" t="str">
        <f>""</f>
        <v/>
      </c>
      <c r="P104" t="s">
        <v>219</v>
      </c>
      <c r="Q104" t="str">
        <f>"805014145335"</f>
        <v>805014145335</v>
      </c>
      <c r="R104" t="s">
        <v>259</v>
      </c>
      <c r="T104" s="1" t="s">
        <v>260</v>
      </c>
      <c r="U104">
        <v>70</v>
      </c>
      <c r="V104" t="s">
        <v>219</v>
      </c>
      <c r="W104" t="s">
        <v>223</v>
      </c>
      <c r="X104" t="s">
        <v>224</v>
      </c>
    </row>
    <row r="105" spans="1:24">
      <c r="A105">
        <v>13527</v>
      </c>
      <c r="B105" t="s">
        <v>25</v>
      </c>
      <c r="C105" t="str">
        <f t="shared" si="2"/>
        <v>INTEGRA Saloon</v>
      </c>
      <c r="D105" t="str">
        <f t="shared" si="3"/>
        <v>1.5</v>
      </c>
      <c r="E105" t="s">
        <v>26</v>
      </c>
      <c r="F105">
        <v>198501</v>
      </c>
      <c r="G105">
        <v>199012</v>
      </c>
      <c r="H105">
        <v>63</v>
      </c>
      <c r="I105">
        <v>85</v>
      </c>
      <c r="J105">
        <v>1488</v>
      </c>
      <c r="K105">
        <v>3029294</v>
      </c>
      <c r="L105" t="s">
        <v>33</v>
      </c>
      <c r="M105" t="str">
        <f>"J3214000"</f>
        <v>J3214000</v>
      </c>
      <c r="N105" t="str">
        <f>"J3214000"</f>
        <v>J3214000</v>
      </c>
      <c r="O105" t="str">
        <f>""</f>
        <v/>
      </c>
      <c r="P105" t="s">
        <v>261</v>
      </c>
      <c r="Q105" t="str">
        <f>"8711768087401"</f>
        <v>8711768087401</v>
      </c>
      <c r="R105" t="s">
        <v>262</v>
      </c>
      <c r="S105" t="s">
        <v>263</v>
      </c>
      <c r="T105" s="1" t="s">
        <v>264</v>
      </c>
      <c r="U105">
        <v>78</v>
      </c>
      <c r="V105" t="s">
        <v>261</v>
      </c>
      <c r="W105" t="s">
        <v>261</v>
      </c>
      <c r="X105" t="s">
        <v>224</v>
      </c>
    </row>
    <row r="106" spans="1:24">
      <c r="A106">
        <v>13527</v>
      </c>
      <c r="B106" t="s">
        <v>25</v>
      </c>
      <c r="C106" t="str">
        <f t="shared" si="2"/>
        <v>INTEGRA Saloon</v>
      </c>
      <c r="D106" t="str">
        <f t="shared" si="3"/>
        <v>1.5</v>
      </c>
      <c r="E106" t="s">
        <v>26</v>
      </c>
      <c r="F106">
        <v>198501</v>
      </c>
      <c r="G106">
        <v>199012</v>
      </c>
      <c r="H106">
        <v>63</v>
      </c>
      <c r="I106">
        <v>85</v>
      </c>
      <c r="J106">
        <v>1488</v>
      </c>
      <c r="K106">
        <v>3029548</v>
      </c>
      <c r="L106" t="s">
        <v>33</v>
      </c>
      <c r="M106" t="str">
        <f>"J3224000"</f>
        <v>J3224000</v>
      </c>
      <c r="N106" t="str">
        <f>"J3224000"</f>
        <v>J3224000</v>
      </c>
      <c r="O106" t="str">
        <f>""</f>
        <v/>
      </c>
      <c r="P106" t="s">
        <v>261</v>
      </c>
      <c r="Q106" t="str">
        <f>"8711768087548"</f>
        <v>8711768087548</v>
      </c>
      <c r="R106" t="s">
        <v>262</v>
      </c>
      <c r="S106" t="s">
        <v>265</v>
      </c>
      <c r="T106" s="1" t="s">
        <v>266</v>
      </c>
      <c r="U106">
        <v>78</v>
      </c>
      <c r="V106" t="s">
        <v>261</v>
      </c>
      <c r="W106" t="s">
        <v>261</v>
      </c>
      <c r="X106" t="s">
        <v>224</v>
      </c>
    </row>
    <row r="107" spans="1:24">
      <c r="A107">
        <v>13527</v>
      </c>
      <c r="B107" t="s">
        <v>25</v>
      </c>
      <c r="C107" t="str">
        <f t="shared" si="2"/>
        <v>INTEGRA Saloon</v>
      </c>
      <c r="D107" t="str">
        <f t="shared" si="3"/>
        <v>1.5</v>
      </c>
      <c r="E107" t="s">
        <v>26</v>
      </c>
      <c r="F107">
        <v>198501</v>
      </c>
      <c r="G107">
        <v>199012</v>
      </c>
      <c r="H107">
        <v>63</v>
      </c>
      <c r="I107">
        <v>85</v>
      </c>
      <c r="J107">
        <v>1488</v>
      </c>
      <c r="K107">
        <v>2877</v>
      </c>
      <c r="L107" t="s">
        <v>236</v>
      </c>
      <c r="M107" t="str">
        <f>"H1141V"</f>
        <v>H1141V</v>
      </c>
      <c r="N107" t="str">
        <f>"H1141V"</f>
        <v>H1141V</v>
      </c>
      <c r="O107" t="str">
        <f>"H1141V"</f>
        <v>H1141V</v>
      </c>
      <c r="P107" t="s">
        <v>267</v>
      </c>
      <c r="Q107" t="str">
        <f>"8032532071052"</f>
        <v>8032532071052</v>
      </c>
      <c r="R107" t="s">
        <v>268</v>
      </c>
      <c r="S107" t="s">
        <v>269</v>
      </c>
      <c r="T107" s="1" t="s">
        <v>270</v>
      </c>
      <c r="U107">
        <v>82</v>
      </c>
      <c r="V107" t="s">
        <v>267</v>
      </c>
      <c r="W107" t="s">
        <v>267</v>
      </c>
      <c r="X107" t="s">
        <v>224</v>
      </c>
    </row>
    <row r="108" spans="1:24">
      <c r="A108">
        <v>13527</v>
      </c>
      <c r="B108" t="s">
        <v>25</v>
      </c>
      <c r="C108" t="str">
        <f t="shared" si="2"/>
        <v>INTEGRA Saloon</v>
      </c>
      <c r="D108" t="str">
        <f t="shared" si="3"/>
        <v>1.5</v>
      </c>
      <c r="E108" t="s">
        <v>26</v>
      </c>
      <c r="F108">
        <v>198501</v>
      </c>
      <c r="G108">
        <v>199012</v>
      </c>
      <c r="H108">
        <v>63</v>
      </c>
      <c r="I108">
        <v>85</v>
      </c>
      <c r="J108">
        <v>1488</v>
      </c>
      <c r="K108">
        <v>112212</v>
      </c>
      <c r="L108" t="s">
        <v>199</v>
      </c>
      <c r="M108" t="str">
        <f>"37580"</f>
        <v>37580</v>
      </c>
      <c r="N108" t="str">
        <f>"37580"</f>
        <v>37580</v>
      </c>
      <c r="O108" t="str">
        <f>""</f>
        <v/>
      </c>
      <c r="P108" t="s">
        <v>267</v>
      </c>
      <c r="Q108" t="str">
        <f>""</f>
        <v/>
      </c>
      <c r="R108" t="s">
        <v>271</v>
      </c>
      <c r="S108" t="s">
        <v>272</v>
      </c>
      <c r="T108" t="s">
        <v>273</v>
      </c>
      <c r="U108">
        <v>82</v>
      </c>
      <c r="V108" t="s">
        <v>267</v>
      </c>
      <c r="W108" t="s">
        <v>267</v>
      </c>
      <c r="X108" t="s">
        <v>224</v>
      </c>
    </row>
    <row r="109" spans="1:24">
      <c r="A109">
        <v>13527</v>
      </c>
      <c r="B109" t="s">
        <v>25</v>
      </c>
      <c r="C109" t="str">
        <f t="shared" si="2"/>
        <v>INTEGRA Saloon</v>
      </c>
      <c r="D109" t="str">
        <f t="shared" si="3"/>
        <v>1.5</v>
      </c>
      <c r="E109" t="s">
        <v>26</v>
      </c>
      <c r="F109">
        <v>198501</v>
      </c>
      <c r="G109">
        <v>199012</v>
      </c>
      <c r="H109">
        <v>63</v>
      </c>
      <c r="I109">
        <v>85</v>
      </c>
      <c r="J109">
        <v>1488</v>
      </c>
      <c r="K109">
        <v>211976</v>
      </c>
      <c r="L109" t="s">
        <v>274</v>
      </c>
      <c r="M109" t="str">
        <f>"190817"</f>
        <v>190817</v>
      </c>
      <c r="N109" t="str">
        <f>"19-0817"</f>
        <v>19-0817</v>
      </c>
      <c r="O109" t="str">
        <f>""</f>
        <v/>
      </c>
      <c r="P109" t="s">
        <v>267</v>
      </c>
      <c r="Q109" t="str">
        <f>""</f>
        <v/>
      </c>
      <c r="R109" t="s">
        <v>275</v>
      </c>
      <c r="T109" t="s">
        <v>276</v>
      </c>
      <c r="U109">
        <v>82</v>
      </c>
      <c r="V109" t="s">
        <v>267</v>
      </c>
      <c r="W109" t="s">
        <v>267</v>
      </c>
      <c r="X109" t="s">
        <v>224</v>
      </c>
    </row>
    <row r="110" spans="1:24">
      <c r="A110">
        <v>13527</v>
      </c>
      <c r="B110" t="s">
        <v>25</v>
      </c>
      <c r="C110" t="str">
        <f t="shared" si="2"/>
        <v>INTEGRA Saloon</v>
      </c>
      <c r="D110" t="str">
        <f t="shared" si="3"/>
        <v>1.5</v>
      </c>
      <c r="E110" t="s">
        <v>26</v>
      </c>
      <c r="F110">
        <v>198501</v>
      </c>
      <c r="G110">
        <v>199012</v>
      </c>
      <c r="H110">
        <v>63</v>
      </c>
      <c r="I110">
        <v>85</v>
      </c>
      <c r="J110">
        <v>1488</v>
      </c>
      <c r="K110">
        <v>211977</v>
      </c>
      <c r="L110" t="s">
        <v>274</v>
      </c>
      <c r="M110" t="str">
        <f>"190818"</f>
        <v>190818</v>
      </c>
      <c r="N110" t="str">
        <f>"19-0818"</f>
        <v>19-0818</v>
      </c>
      <c r="O110" t="str">
        <f>""</f>
        <v/>
      </c>
      <c r="P110" t="s">
        <v>267</v>
      </c>
      <c r="Q110" t="str">
        <f>""</f>
        <v/>
      </c>
      <c r="R110" t="s">
        <v>277</v>
      </c>
      <c r="T110" t="s">
        <v>278</v>
      </c>
      <c r="U110">
        <v>82</v>
      </c>
      <c r="V110" t="s">
        <v>267</v>
      </c>
      <c r="W110" t="s">
        <v>267</v>
      </c>
      <c r="X110" t="s">
        <v>224</v>
      </c>
    </row>
    <row r="111" spans="1:24">
      <c r="A111">
        <v>13527</v>
      </c>
      <c r="B111" t="s">
        <v>25</v>
      </c>
      <c r="C111" t="str">
        <f t="shared" si="2"/>
        <v>INTEGRA Saloon</v>
      </c>
      <c r="D111" t="str">
        <f t="shared" si="3"/>
        <v>1.5</v>
      </c>
      <c r="E111" t="s">
        <v>26</v>
      </c>
      <c r="F111">
        <v>198501</v>
      </c>
      <c r="G111">
        <v>199012</v>
      </c>
      <c r="H111">
        <v>63</v>
      </c>
      <c r="I111">
        <v>85</v>
      </c>
      <c r="J111">
        <v>1488</v>
      </c>
      <c r="K111">
        <v>211984</v>
      </c>
      <c r="L111" t="s">
        <v>274</v>
      </c>
      <c r="M111" t="str">
        <f>"190838"</f>
        <v>190838</v>
      </c>
      <c r="N111" t="str">
        <f>"19-0838"</f>
        <v>19-0838</v>
      </c>
      <c r="O111" t="str">
        <f>""</f>
        <v/>
      </c>
      <c r="P111" t="s">
        <v>267</v>
      </c>
      <c r="Q111" t="str">
        <f>""</f>
        <v/>
      </c>
      <c r="R111" t="s">
        <v>279</v>
      </c>
      <c r="T111" s="1" t="s">
        <v>280</v>
      </c>
      <c r="U111">
        <v>82</v>
      </c>
      <c r="V111" t="s">
        <v>267</v>
      </c>
      <c r="W111" t="s">
        <v>267</v>
      </c>
      <c r="X111" t="s">
        <v>224</v>
      </c>
    </row>
    <row r="112" spans="1:24">
      <c r="A112">
        <v>13527</v>
      </c>
      <c r="B112" t="s">
        <v>25</v>
      </c>
      <c r="C112" t="str">
        <f t="shared" si="2"/>
        <v>INTEGRA Saloon</v>
      </c>
      <c r="D112" t="str">
        <f t="shared" si="3"/>
        <v>1.5</v>
      </c>
      <c r="E112" t="s">
        <v>26</v>
      </c>
      <c r="F112">
        <v>198501</v>
      </c>
      <c r="G112">
        <v>199012</v>
      </c>
      <c r="H112">
        <v>63</v>
      </c>
      <c r="I112">
        <v>85</v>
      </c>
      <c r="J112">
        <v>1488</v>
      </c>
      <c r="K112">
        <v>304779</v>
      </c>
      <c r="L112" t="s">
        <v>247</v>
      </c>
      <c r="M112" t="str">
        <f>"BD0104"</f>
        <v>BD0104</v>
      </c>
      <c r="N112" t="str">
        <f>"BD0104"</f>
        <v>BD0104</v>
      </c>
      <c r="O112" t="str">
        <f>""</f>
        <v/>
      </c>
      <c r="P112" t="s">
        <v>267</v>
      </c>
      <c r="Q112" t="str">
        <f>""</f>
        <v/>
      </c>
      <c r="R112" t="s">
        <v>281</v>
      </c>
      <c r="S112" t="s">
        <v>282</v>
      </c>
      <c r="T112" s="1" t="s">
        <v>283</v>
      </c>
      <c r="U112">
        <v>82</v>
      </c>
      <c r="V112" t="s">
        <v>267</v>
      </c>
      <c r="W112" t="s">
        <v>267</v>
      </c>
      <c r="X112" t="s">
        <v>224</v>
      </c>
    </row>
    <row r="113" spans="1:24">
      <c r="A113">
        <v>13527</v>
      </c>
      <c r="B113" t="s">
        <v>25</v>
      </c>
      <c r="C113" t="str">
        <f t="shared" si="2"/>
        <v>INTEGRA Saloon</v>
      </c>
      <c r="D113" t="str">
        <f t="shared" si="3"/>
        <v>1.5</v>
      </c>
      <c r="E113" t="s">
        <v>26</v>
      </c>
      <c r="F113">
        <v>198501</v>
      </c>
      <c r="G113">
        <v>199012</v>
      </c>
      <c r="H113">
        <v>63</v>
      </c>
      <c r="I113">
        <v>85</v>
      </c>
      <c r="J113">
        <v>1488</v>
      </c>
      <c r="K113">
        <v>332234</v>
      </c>
      <c r="L113" t="s">
        <v>239</v>
      </c>
      <c r="M113" t="str">
        <f>"DF104"</f>
        <v>DF104</v>
      </c>
      <c r="N113" t="str">
        <f>"DF104"</f>
        <v>DF104</v>
      </c>
      <c r="O113" t="str">
        <f>""</f>
        <v/>
      </c>
      <c r="P113" t="s">
        <v>267</v>
      </c>
      <c r="Q113" t="str">
        <f>""</f>
        <v/>
      </c>
      <c r="R113" t="s">
        <v>281</v>
      </c>
      <c r="S113" t="s">
        <v>282</v>
      </c>
      <c r="T113" s="1" t="s">
        <v>284</v>
      </c>
      <c r="U113">
        <v>82</v>
      </c>
      <c r="V113" t="s">
        <v>267</v>
      </c>
      <c r="W113" t="s">
        <v>267</v>
      </c>
      <c r="X113" t="s">
        <v>224</v>
      </c>
    </row>
    <row r="114" spans="1:24">
      <c r="A114">
        <v>13527</v>
      </c>
      <c r="B114" t="s">
        <v>25</v>
      </c>
      <c r="C114" t="str">
        <f t="shared" si="2"/>
        <v>INTEGRA Saloon</v>
      </c>
      <c r="D114" t="str">
        <f t="shared" si="3"/>
        <v>1.5</v>
      </c>
      <c r="E114" t="s">
        <v>26</v>
      </c>
      <c r="F114">
        <v>198501</v>
      </c>
      <c r="G114">
        <v>199012</v>
      </c>
      <c r="H114">
        <v>63</v>
      </c>
      <c r="I114">
        <v>85</v>
      </c>
      <c r="J114">
        <v>1488</v>
      </c>
      <c r="K114">
        <v>557318</v>
      </c>
      <c r="L114" t="s">
        <v>285</v>
      </c>
      <c r="M114" t="str">
        <f>"562016S"</f>
        <v>562016S</v>
      </c>
      <c r="N114" t="str">
        <f>"562016S"</f>
        <v>562016S</v>
      </c>
      <c r="O114" t="str">
        <f>""</f>
        <v/>
      </c>
      <c r="P114" t="s">
        <v>267</v>
      </c>
      <c r="Q114" t="str">
        <f>"3306437250054"</f>
        <v>3306437250054</v>
      </c>
      <c r="R114" t="s">
        <v>286</v>
      </c>
      <c r="S114" t="s">
        <v>287</v>
      </c>
      <c r="T114" s="1" t="s">
        <v>288</v>
      </c>
      <c r="U114">
        <v>82</v>
      </c>
      <c r="V114" t="s">
        <v>267</v>
      </c>
      <c r="W114" t="s">
        <v>267</v>
      </c>
      <c r="X114" t="s">
        <v>224</v>
      </c>
    </row>
    <row r="115" spans="1:24">
      <c r="A115">
        <v>13527</v>
      </c>
      <c r="B115" t="s">
        <v>25</v>
      </c>
      <c r="C115" t="str">
        <f t="shared" si="2"/>
        <v>INTEGRA Saloon</v>
      </c>
      <c r="D115" t="str">
        <f t="shared" si="3"/>
        <v>1.5</v>
      </c>
      <c r="E115" t="s">
        <v>26</v>
      </c>
      <c r="F115">
        <v>198501</v>
      </c>
      <c r="G115">
        <v>199012</v>
      </c>
      <c r="H115">
        <v>63</v>
      </c>
      <c r="I115">
        <v>85</v>
      </c>
      <c r="J115">
        <v>1488</v>
      </c>
      <c r="K115">
        <v>655150</v>
      </c>
      <c r="L115" t="s">
        <v>149</v>
      </c>
      <c r="M115" t="str">
        <f>"B130096"</f>
        <v>B130096</v>
      </c>
      <c r="N115" t="str">
        <f>"B130096"</f>
        <v>B130096</v>
      </c>
      <c r="O115" t="str">
        <f>""</f>
        <v/>
      </c>
      <c r="P115" t="s">
        <v>267</v>
      </c>
      <c r="Q115" t="str">
        <f>"5901225727954"</f>
        <v>5901225727954</v>
      </c>
      <c r="R115" t="s">
        <v>289</v>
      </c>
      <c r="T115" s="1" t="s">
        <v>290</v>
      </c>
      <c r="U115">
        <v>82</v>
      </c>
      <c r="V115" t="s">
        <v>267</v>
      </c>
      <c r="W115" t="s">
        <v>267</v>
      </c>
      <c r="X115" t="s">
        <v>224</v>
      </c>
    </row>
    <row r="116" spans="1:24">
      <c r="A116">
        <v>13527</v>
      </c>
      <c r="B116" t="s">
        <v>25</v>
      </c>
      <c r="C116" t="str">
        <f t="shared" si="2"/>
        <v>INTEGRA Saloon</v>
      </c>
      <c r="D116" t="str">
        <f t="shared" si="3"/>
        <v>1.5</v>
      </c>
      <c r="E116" t="s">
        <v>26</v>
      </c>
      <c r="F116">
        <v>198501</v>
      </c>
      <c r="G116">
        <v>199012</v>
      </c>
      <c r="H116">
        <v>63</v>
      </c>
      <c r="I116">
        <v>85</v>
      </c>
      <c r="J116">
        <v>1488</v>
      </c>
      <c r="K116">
        <v>761189</v>
      </c>
      <c r="L116" t="s">
        <v>51</v>
      </c>
      <c r="M116" t="str">
        <f>"HPD916"</f>
        <v>HPD916</v>
      </c>
      <c r="N116" t="str">
        <f>"HPD 916"</f>
        <v>HPD 916</v>
      </c>
      <c r="O116" t="str">
        <f>"ref. IB: HHO 14 1V"</f>
        <v>ref. IB: HHO 14 1V</v>
      </c>
      <c r="P116" t="s">
        <v>267</v>
      </c>
      <c r="Q116" t="str">
        <f>"8029172003789"</f>
        <v>8029172003789</v>
      </c>
      <c r="R116" t="s">
        <v>291</v>
      </c>
      <c r="S116" t="s">
        <v>292</v>
      </c>
      <c r="T116" s="1" t="s">
        <v>293</v>
      </c>
      <c r="U116">
        <v>82</v>
      </c>
      <c r="V116" t="s">
        <v>267</v>
      </c>
      <c r="W116" t="s">
        <v>267</v>
      </c>
      <c r="X116" t="s">
        <v>224</v>
      </c>
    </row>
    <row r="117" spans="1:24">
      <c r="A117">
        <v>13527</v>
      </c>
      <c r="B117" t="s">
        <v>25</v>
      </c>
      <c r="C117" t="str">
        <f t="shared" si="2"/>
        <v>INTEGRA Saloon</v>
      </c>
      <c r="D117" t="str">
        <f t="shared" si="3"/>
        <v>1.5</v>
      </c>
      <c r="E117" t="s">
        <v>26</v>
      </c>
      <c r="F117">
        <v>198501</v>
      </c>
      <c r="G117">
        <v>199012</v>
      </c>
      <c r="H117">
        <v>63</v>
      </c>
      <c r="I117">
        <v>85</v>
      </c>
      <c r="J117">
        <v>1488</v>
      </c>
      <c r="K117">
        <v>843413</v>
      </c>
      <c r="L117" t="s">
        <v>294</v>
      </c>
      <c r="M117" t="str">
        <f>"V305"</f>
        <v>V305</v>
      </c>
      <c r="N117" t="str">
        <f>"V305"</f>
        <v>V305</v>
      </c>
      <c r="O117" t="str">
        <f>""</f>
        <v/>
      </c>
      <c r="P117" t="s">
        <v>267</v>
      </c>
      <c r="Q117" t="str">
        <f>""</f>
        <v/>
      </c>
      <c r="R117" t="s">
        <v>295</v>
      </c>
      <c r="S117" t="s">
        <v>296</v>
      </c>
      <c r="T117" s="1" t="s">
        <v>297</v>
      </c>
      <c r="U117">
        <v>82</v>
      </c>
      <c r="V117" t="s">
        <v>267</v>
      </c>
      <c r="W117" t="s">
        <v>267</v>
      </c>
      <c r="X117" t="s">
        <v>224</v>
      </c>
    </row>
    <row r="118" spans="1:24">
      <c r="A118">
        <v>13527</v>
      </c>
      <c r="B118" t="s">
        <v>25</v>
      </c>
      <c r="C118" t="str">
        <f t="shared" si="2"/>
        <v>INTEGRA Saloon</v>
      </c>
      <c r="D118" t="str">
        <f t="shared" si="3"/>
        <v>1.5</v>
      </c>
      <c r="E118" t="s">
        <v>26</v>
      </c>
      <c r="F118">
        <v>198501</v>
      </c>
      <c r="G118">
        <v>199012</v>
      </c>
      <c r="H118">
        <v>63</v>
      </c>
      <c r="I118">
        <v>85</v>
      </c>
      <c r="J118">
        <v>1488</v>
      </c>
      <c r="K118">
        <v>895085</v>
      </c>
      <c r="L118" t="s">
        <v>298</v>
      </c>
      <c r="M118" t="str">
        <f>"370003"</f>
        <v>370003</v>
      </c>
      <c r="N118" t="str">
        <f>"37-0003"</f>
        <v>37-0003</v>
      </c>
      <c r="O118" t="str">
        <f>""</f>
        <v/>
      </c>
      <c r="P118" t="s">
        <v>267</v>
      </c>
      <c r="Q118" t="str">
        <f>""</f>
        <v/>
      </c>
      <c r="R118" s="1" t="s">
        <v>299</v>
      </c>
      <c r="S118" t="s">
        <v>300</v>
      </c>
      <c r="T118" s="1" t="s">
        <v>301</v>
      </c>
      <c r="U118">
        <v>82</v>
      </c>
      <c r="V118" t="s">
        <v>267</v>
      </c>
      <c r="W118" t="s">
        <v>267</v>
      </c>
      <c r="X118" t="s">
        <v>224</v>
      </c>
    </row>
    <row r="119" spans="1:24">
      <c r="A119">
        <v>13527</v>
      </c>
      <c r="B119" t="s">
        <v>25</v>
      </c>
      <c r="C119" t="str">
        <f t="shared" si="2"/>
        <v>INTEGRA Saloon</v>
      </c>
      <c r="D119" t="str">
        <f t="shared" si="3"/>
        <v>1.5</v>
      </c>
      <c r="E119" t="s">
        <v>26</v>
      </c>
      <c r="F119">
        <v>198501</v>
      </c>
      <c r="G119">
        <v>199012</v>
      </c>
      <c r="H119">
        <v>63</v>
      </c>
      <c r="I119">
        <v>85</v>
      </c>
      <c r="J119">
        <v>1488</v>
      </c>
      <c r="K119">
        <v>938474</v>
      </c>
      <c r="L119" t="s">
        <v>302</v>
      </c>
      <c r="M119" t="str">
        <f>"8510080000"</f>
        <v>8510080000</v>
      </c>
      <c r="N119" t="str">
        <f>"851008.0000"</f>
        <v>851008.0000</v>
      </c>
      <c r="O119" t="str">
        <f>""</f>
        <v/>
      </c>
      <c r="P119" t="s">
        <v>267</v>
      </c>
      <c r="Q119" t="str">
        <f>""</f>
        <v/>
      </c>
      <c r="R119" s="1" t="s">
        <v>303</v>
      </c>
      <c r="S119" t="s">
        <v>304</v>
      </c>
      <c r="T119" t="s">
        <v>305</v>
      </c>
      <c r="U119">
        <v>82</v>
      </c>
      <c r="V119" t="s">
        <v>267</v>
      </c>
      <c r="W119" t="s">
        <v>267</v>
      </c>
      <c r="X119" t="s">
        <v>224</v>
      </c>
    </row>
    <row r="120" spans="1:24">
      <c r="A120">
        <v>13527</v>
      </c>
      <c r="B120" t="s">
        <v>25</v>
      </c>
      <c r="C120" t="str">
        <f t="shared" si="2"/>
        <v>INTEGRA Saloon</v>
      </c>
      <c r="D120" t="str">
        <f t="shared" si="3"/>
        <v>1.5</v>
      </c>
      <c r="E120" t="s">
        <v>26</v>
      </c>
      <c r="F120">
        <v>198501</v>
      </c>
      <c r="G120">
        <v>199012</v>
      </c>
      <c r="H120">
        <v>63</v>
      </c>
      <c r="I120">
        <v>85</v>
      </c>
      <c r="J120">
        <v>1488</v>
      </c>
      <c r="K120">
        <v>938489</v>
      </c>
      <c r="L120" t="s">
        <v>302</v>
      </c>
      <c r="M120" t="str">
        <f>"8510540000"</f>
        <v>8510540000</v>
      </c>
      <c r="N120" t="str">
        <f>"851054.0000"</f>
        <v>851054.0000</v>
      </c>
      <c r="O120" t="str">
        <f>""</f>
        <v/>
      </c>
      <c r="P120" t="s">
        <v>267</v>
      </c>
      <c r="Q120" t="str">
        <f>""</f>
        <v/>
      </c>
      <c r="R120" s="1" t="s">
        <v>306</v>
      </c>
      <c r="S120" t="s">
        <v>307</v>
      </c>
      <c r="T120" t="s">
        <v>308</v>
      </c>
      <c r="U120">
        <v>82</v>
      </c>
      <c r="V120" t="s">
        <v>267</v>
      </c>
      <c r="W120" t="s">
        <v>267</v>
      </c>
      <c r="X120" t="s">
        <v>224</v>
      </c>
    </row>
    <row r="121" spans="1:24">
      <c r="A121">
        <v>13527</v>
      </c>
      <c r="B121" t="s">
        <v>25</v>
      </c>
      <c r="C121" t="str">
        <f t="shared" si="2"/>
        <v>INTEGRA Saloon</v>
      </c>
      <c r="D121" t="str">
        <f t="shared" si="3"/>
        <v>1.5</v>
      </c>
      <c r="E121" t="s">
        <v>26</v>
      </c>
      <c r="F121">
        <v>198501</v>
      </c>
      <c r="G121">
        <v>199012</v>
      </c>
      <c r="H121">
        <v>63</v>
      </c>
      <c r="I121">
        <v>85</v>
      </c>
      <c r="J121">
        <v>1488</v>
      </c>
      <c r="K121">
        <v>955137</v>
      </c>
      <c r="L121" t="s">
        <v>218</v>
      </c>
      <c r="M121" t="str">
        <f>"PRD2182"</f>
        <v>PRD2182</v>
      </c>
      <c r="N121" t="str">
        <f>"PRD2182"</f>
        <v>PRD2182</v>
      </c>
      <c r="O121" t="str">
        <f>""</f>
        <v/>
      </c>
      <c r="P121" t="s">
        <v>267</v>
      </c>
      <c r="Q121" t="str">
        <f>""</f>
        <v/>
      </c>
      <c r="R121" t="s">
        <v>309</v>
      </c>
      <c r="S121" t="s">
        <v>310</v>
      </c>
      <c r="T121" s="1" t="s">
        <v>311</v>
      </c>
      <c r="U121">
        <v>82</v>
      </c>
      <c r="V121" t="s">
        <v>267</v>
      </c>
      <c r="W121" t="s">
        <v>267</v>
      </c>
      <c r="X121" t="s">
        <v>224</v>
      </c>
    </row>
    <row r="122" spans="1:24">
      <c r="A122">
        <v>13527</v>
      </c>
      <c r="B122" t="s">
        <v>25</v>
      </c>
      <c r="C122" t="str">
        <f t="shared" si="2"/>
        <v>INTEGRA Saloon</v>
      </c>
      <c r="D122" t="str">
        <f t="shared" si="3"/>
        <v>1.5</v>
      </c>
      <c r="E122" t="s">
        <v>26</v>
      </c>
      <c r="F122">
        <v>198501</v>
      </c>
      <c r="G122">
        <v>199012</v>
      </c>
      <c r="H122">
        <v>63</v>
      </c>
      <c r="I122">
        <v>85</v>
      </c>
      <c r="J122">
        <v>1488</v>
      </c>
      <c r="K122">
        <v>958079</v>
      </c>
      <c r="L122" t="s">
        <v>218</v>
      </c>
      <c r="M122" t="str">
        <f>"PRD5174"</f>
        <v>PRD5174</v>
      </c>
      <c r="N122" t="str">
        <f>"PRD5174"</f>
        <v>PRD5174</v>
      </c>
      <c r="O122" t="str">
        <f>""</f>
        <v/>
      </c>
      <c r="P122" t="s">
        <v>267</v>
      </c>
      <c r="Q122" t="str">
        <f>""</f>
        <v/>
      </c>
      <c r="R122" t="s">
        <v>312</v>
      </c>
      <c r="S122" t="s">
        <v>221</v>
      </c>
      <c r="T122" t="s">
        <v>313</v>
      </c>
      <c r="U122">
        <v>82</v>
      </c>
      <c r="V122" t="s">
        <v>267</v>
      </c>
      <c r="W122" t="s">
        <v>267</v>
      </c>
      <c r="X122" t="s">
        <v>224</v>
      </c>
    </row>
    <row r="123" spans="1:24">
      <c r="A123">
        <v>13527</v>
      </c>
      <c r="B123" t="s">
        <v>25</v>
      </c>
      <c r="C123" t="str">
        <f t="shared" si="2"/>
        <v>INTEGRA Saloon</v>
      </c>
      <c r="D123" t="str">
        <f t="shared" si="3"/>
        <v>1.5</v>
      </c>
      <c r="E123" t="s">
        <v>26</v>
      </c>
      <c r="F123">
        <v>198501</v>
      </c>
      <c r="G123">
        <v>199012</v>
      </c>
      <c r="H123">
        <v>63</v>
      </c>
      <c r="I123">
        <v>85</v>
      </c>
      <c r="J123">
        <v>1488</v>
      </c>
      <c r="K123">
        <v>995288</v>
      </c>
      <c r="L123" t="s">
        <v>314</v>
      </c>
      <c r="M123" t="str">
        <f>"98291"</f>
        <v>98291</v>
      </c>
      <c r="N123" t="str">
        <f>"98291"</f>
        <v>98291</v>
      </c>
      <c r="O123" t="str">
        <f>""</f>
        <v/>
      </c>
      <c r="P123" t="s">
        <v>267</v>
      </c>
      <c r="Q123" t="str">
        <f>""</f>
        <v/>
      </c>
      <c r="R123" t="s">
        <v>315</v>
      </c>
      <c r="S123" t="s">
        <v>316</v>
      </c>
      <c r="T123" s="1" t="s">
        <v>317</v>
      </c>
      <c r="U123">
        <v>82</v>
      </c>
      <c r="V123" t="s">
        <v>267</v>
      </c>
      <c r="W123" t="s">
        <v>267</v>
      </c>
      <c r="X123" t="s">
        <v>224</v>
      </c>
    </row>
    <row r="124" spans="1:24">
      <c r="A124">
        <v>13527</v>
      </c>
      <c r="B124" t="s">
        <v>25</v>
      </c>
      <c r="C124" t="str">
        <f t="shared" si="2"/>
        <v>INTEGRA Saloon</v>
      </c>
      <c r="D124" t="str">
        <f t="shared" si="3"/>
        <v>1.5</v>
      </c>
      <c r="E124" t="s">
        <v>26</v>
      </c>
      <c r="F124">
        <v>198501</v>
      </c>
      <c r="G124">
        <v>199012</v>
      </c>
      <c r="H124">
        <v>63</v>
      </c>
      <c r="I124">
        <v>85</v>
      </c>
      <c r="J124">
        <v>1488</v>
      </c>
      <c r="K124">
        <v>1100365</v>
      </c>
      <c r="L124" t="s">
        <v>318</v>
      </c>
      <c r="M124" t="str">
        <f>"24011901061"</f>
        <v>24011901061</v>
      </c>
      <c r="N124" t="str">
        <f>"24.0119-0106.1"</f>
        <v>24.0119-0106.1</v>
      </c>
      <c r="O124" t="str">
        <f>"419106"</f>
        <v>419106</v>
      </c>
      <c r="P124" t="s">
        <v>267</v>
      </c>
      <c r="Q124" t="str">
        <f>"4006633116114"</f>
        <v>4006633116114</v>
      </c>
      <c r="R124" s="1" t="s">
        <v>319</v>
      </c>
      <c r="S124" t="s">
        <v>320</v>
      </c>
      <c r="T124" s="1" t="s">
        <v>321</v>
      </c>
      <c r="U124">
        <v>82</v>
      </c>
      <c r="V124" t="s">
        <v>267</v>
      </c>
      <c r="W124" t="s">
        <v>267</v>
      </c>
      <c r="X124" t="s">
        <v>224</v>
      </c>
    </row>
    <row r="125" spans="1:24">
      <c r="A125">
        <v>13527</v>
      </c>
      <c r="B125" t="s">
        <v>25</v>
      </c>
      <c r="C125" t="str">
        <f t="shared" si="2"/>
        <v>INTEGRA Saloon</v>
      </c>
      <c r="D125" t="str">
        <f t="shared" si="3"/>
        <v>1.5</v>
      </c>
      <c r="E125" t="s">
        <v>26</v>
      </c>
      <c r="F125">
        <v>198501</v>
      </c>
      <c r="G125">
        <v>199012</v>
      </c>
      <c r="H125">
        <v>63</v>
      </c>
      <c r="I125">
        <v>85</v>
      </c>
      <c r="J125">
        <v>1488</v>
      </c>
      <c r="K125">
        <v>1251530</v>
      </c>
      <c r="L125" t="s">
        <v>66</v>
      </c>
      <c r="M125" t="str">
        <f>"186435"</f>
        <v>186435</v>
      </c>
      <c r="N125" t="str">
        <f>"186435"</f>
        <v>186435</v>
      </c>
      <c r="O125" t="str">
        <f>""</f>
        <v/>
      </c>
      <c r="P125" t="s">
        <v>267</v>
      </c>
      <c r="Q125" t="str">
        <f>"3276421972258"</f>
        <v>3276421972258</v>
      </c>
      <c r="R125" s="1" t="s">
        <v>322</v>
      </c>
      <c r="T125" s="1" t="s">
        <v>323</v>
      </c>
      <c r="U125">
        <v>82</v>
      </c>
      <c r="V125" t="s">
        <v>267</v>
      </c>
      <c r="W125" t="s">
        <v>267</v>
      </c>
      <c r="X125" t="s">
        <v>224</v>
      </c>
    </row>
    <row r="126" spans="1:24">
      <c r="A126">
        <v>13527</v>
      </c>
      <c r="B126" t="s">
        <v>25</v>
      </c>
      <c r="C126" t="str">
        <f t="shared" si="2"/>
        <v>INTEGRA Saloon</v>
      </c>
      <c r="D126" t="str">
        <f t="shared" si="3"/>
        <v>1.5</v>
      </c>
      <c r="E126" t="s">
        <v>26</v>
      </c>
      <c r="F126">
        <v>198501</v>
      </c>
      <c r="G126">
        <v>199012</v>
      </c>
      <c r="H126">
        <v>63</v>
      </c>
      <c r="I126">
        <v>85</v>
      </c>
      <c r="J126">
        <v>1488</v>
      </c>
      <c r="K126">
        <v>1678135</v>
      </c>
      <c r="L126" t="s">
        <v>225</v>
      </c>
      <c r="M126" t="str">
        <f>"561384J"</f>
        <v>561384J</v>
      </c>
      <c r="N126" t="str">
        <f>"561384J"</f>
        <v>561384J</v>
      </c>
      <c r="O126" t="str">
        <f>"561384"</f>
        <v>561384</v>
      </c>
      <c r="P126" t="s">
        <v>267</v>
      </c>
      <c r="Q126" t="str">
        <f>"3306435027733"</f>
        <v>3306435027733</v>
      </c>
      <c r="R126" t="s">
        <v>324</v>
      </c>
      <c r="T126" s="1" t="s">
        <v>325</v>
      </c>
      <c r="U126">
        <v>82</v>
      </c>
      <c r="V126" t="s">
        <v>267</v>
      </c>
      <c r="W126" t="s">
        <v>267</v>
      </c>
      <c r="X126" t="s">
        <v>224</v>
      </c>
    </row>
    <row r="127" spans="1:24">
      <c r="A127">
        <v>13527</v>
      </c>
      <c r="B127" t="s">
        <v>25</v>
      </c>
      <c r="C127" t="str">
        <f t="shared" si="2"/>
        <v>INTEGRA Saloon</v>
      </c>
      <c r="D127" t="str">
        <f t="shared" si="3"/>
        <v>1.5</v>
      </c>
      <c r="E127" t="s">
        <v>26</v>
      </c>
      <c r="F127">
        <v>198501</v>
      </c>
      <c r="G127">
        <v>199012</v>
      </c>
      <c r="H127">
        <v>63</v>
      </c>
      <c r="I127">
        <v>85</v>
      </c>
      <c r="J127">
        <v>1488</v>
      </c>
      <c r="K127">
        <v>1678136</v>
      </c>
      <c r="L127" t="s">
        <v>225</v>
      </c>
      <c r="M127" t="str">
        <f>"561384JC"</f>
        <v>561384JC</v>
      </c>
      <c r="N127" t="str">
        <f>"561384JC"</f>
        <v>561384JC</v>
      </c>
      <c r="O127" t="str">
        <f>"561384J"</f>
        <v>561384J</v>
      </c>
      <c r="P127" t="s">
        <v>267</v>
      </c>
      <c r="Q127" t="str">
        <f>"3306437207898"</f>
        <v>3306437207898</v>
      </c>
      <c r="R127" t="s">
        <v>326</v>
      </c>
      <c r="T127" t="s">
        <v>327</v>
      </c>
      <c r="U127">
        <v>82</v>
      </c>
      <c r="V127" t="s">
        <v>267</v>
      </c>
      <c r="W127" t="s">
        <v>267</v>
      </c>
      <c r="X127" t="s">
        <v>224</v>
      </c>
    </row>
    <row r="128" spans="1:24">
      <c r="A128">
        <v>13527</v>
      </c>
      <c r="B128" t="s">
        <v>25</v>
      </c>
      <c r="C128" t="str">
        <f t="shared" si="2"/>
        <v>INTEGRA Saloon</v>
      </c>
      <c r="D128" t="str">
        <f t="shared" si="3"/>
        <v>1.5</v>
      </c>
      <c r="E128" t="s">
        <v>26</v>
      </c>
      <c r="F128">
        <v>198501</v>
      </c>
      <c r="G128">
        <v>199012</v>
      </c>
      <c r="H128">
        <v>63</v>
      </c>
      <c r="I128">
        <v>85</v>
      </c>
      <c r="J128">
        <v>1488</v>
      </c>
      <c r="K128">
        <v>1678649</v>
      </c>
      <c r="L128" t="s">
        <v>225</v>
      </c>
      <c r="M128" t="str">
        <f>"562016J"</f>
        <v>562016J</v>
      </c>
      <c r="N128" t="str">
        <f>"562016J"</f>
        <v>562016J</v>
      </c>
      <c r="O128" t="str">
        <f>"562016"</f>
        <v>562016</v>
      </c>
      <c r="P128" t="s">
        <v>267</v>
      </c>
      <c r="Q128" t="str">
        <f>"3306437007948"</f>
        <v>3306437007948</v>
      </c>
      <c r="R128" t="s">
        <v>328</v>
      </c>
      <c r="S128" t="s">
        <v>287</v>
      </c>
      <c r="T128" s="1" t="s">
        <v>329</v>
      </c>
      <c r="U128">
        <v>82</v>
      </c>
      <c r="V128" t="s">
        <v>267</v>
      </c>
      <c r="W128" t="s">
        <v>267</v>
      </c>
      <c r="X128" t="s">
        <v>224</v>
      </c>
    </row>
    <row r="129" spans="1:24">
      <c r="A129">
        <v>13527</v>
      </c>
      <c r="B129" t="s">
        <v>25</v>
      </c>
      <c r="C129" t="str">
        <f t="shared" si="2"/>
        <v>INTEGRA Saloon</v>
      </c>
      <c r="D129" t="str">
        <f t="shared" si="3"/>
        <v>1.5</v>
      </c>
      <c r="E129" t="s">
        <v>26</v>
      </c>
      <c r="F129">
        <v>198501</v>
      </c>
      <c r="G129">
        <v>199012</v>
      </c>
      <c r="H129">
        <v>63</v>
      </c>
      <c r="I129">
        <v>85</v>
      </c>
      <c r="J129">
        <v>1488</v>
      </c>
      <c r="K129">
        <v>1678650</v>
      </c>
      <c r="L129" t="s">
        <v>225</v>
      </c>
      <c r="M129" t="str">
        <f>"562016JC"</f>
        <v>562016JC</v>
      </c>
      <c r="N129" t="str">
        <f>"562016JC"</f>
        <v>562016JC</v>
      </c>
      <c r="O129" t="str">
        <f>"562016J"</f>
        <v>562016J</v>
      </c>
      <c r="P129" t="s">
        <v>267</v>
      </c>
      <c r="Q129" t="str">
        <f>"3306437210294"</f>
        <v>3306437210294</v>
      </c>
      <c r="R129" t="s">
        <v>330</v>
      </c>
      <c r="S129" t="s">
        <v>287</v>
      </c>
      <c r="T129" t="s">
        <v>331</v>
      </c>
      <c r="U129">
        <v>82</v>
      </c>
      <c r="V129" t="s">
        <v>267</v>
      </c>
      <c r="W129" t="s">
        <v>267</v>
      </c>
      <c r="X129" t="s">
        <v>224</v>
      </c>
    </row>
    <row r="130" spans="1:24">
      <c r="A130">
        <v>13527</v>
      </c>
      <c r="B130" t="s">
        <v>25</v>
      </c>
      <c r="C130" t="str">
        <f t="shared" ref="C130:C193" si="4">"INTEGRA Saloon"</f>
        <v>INTEGRA Saloon</v>
      </c>
      <c r="D130" t="str">
        <f t="shared" ref="D130:D193" si="5">"1.5"</f>
        <v>1.5</v>
      </c>
      <c r="E130" t="s">
        <v>26</v>
      </c>
      <c r="F130">
        <v>198501</v>
      </c>
      <c r="G130">
        <v>199012</v>
      </c>
      <c r="H130">
        <v>63</v>
      </c>
      <c r="I130">
        <v>85</v>
      </c>
      <c r="J130">
        <v>1488</v>
      </c>
      <c r="K130">
        <v>1692572</v>
      </c>
      <c r="L130" t="s">
        <v>332</v>
      </c>
      <c r="M130" t="str">
        <f>"561383B"</f>
        <v>561383B</v>
      </c>
      <c r="N130" t="str">
        <f>"561383B"</f>
        <v>561383B</v>
      </c>
      <c r="O130" t="str">
        <f>"561383"</f>
        <v>561383</v>
      </c>
      <c r="P130" t="s">
        <v>267</v>
      </c>
      <c r="Q130" t="str">
        <f>"3306434042843"</f>
        <v>3306434042843</v>
      </c>
      <c r="R130" t="s">
        <v>333</v>
      </c>
      <c r="S130" t="s">
        <v>334</v>
      </c>
      <c r="T130" s="1" t="s">
        <v>335</v>
      </c>
      <c r="U130">
        <v>82</v>
      </c>
      <c r="V130" t="s">
        <v>267</v>
      </c>
      <c r="W130" t="s">
        <v>267</v>
      </c>
      <c r="X130" t="s">
        <v>224</v>
      </c>
    </row>
    <row r="131" spans="1:24">
      <c r="A131">
        <v>13527</v>
      </c>
      <c r="B131" t="s">
        <v>25</v>
      </c>
      <c r="C131" t="str">
        <f t="shared" si="4"/>
        <v>INTEGRA Saloon</v>
      </c>
      <c r="D131" t="str">
        <f t="shared" si="5"/>
        <v>1.5</v>
      </c>
      <c r="E131" t="s">
        <v>26</v>
      </c>
      <c r="F131">
        <v>198501</v>
      </c>
      <c r="G131">
        <v>199012</v>
      </c>
      <c r="H131">
        <v>63</v>
      </c>
      <c r="I131">
        <v>85</v>
      </c>
      <c r="J131">
        <v>1488</v>
      </c>
      <c r="K131">
        <v>1692573</v>
      </c>
      <c r="L131" t="s">
        <v>332</v>
      </c>
      <c r="M131" t="str">
        <f>"561383BC"</f>
        <v>561383BC</v>
      </c>
      <c r="N131" t="str">
        <f>"561383BC"</f>
        <v>561383BC</v>
      </c>
      <c r="O131" t="str">
        <f>"561383B"</f>
        <v>561383B</v>
      </c>
      <c r="P131" t="s">
        <v>267</v>
      </c>
      <c r="Q131" t="str">
        <f>"3306437207867"</f>
        <v>3306437207867</v>
      </c>
      <c r="R131" t="s">
        <v>336</v>
      </c>
      <c r="S131" t="s">
        <v>334</v>
      </c>
      <c r="T131" s="1" t="s">
        <v>335</v>
      </c>
      <c r="U131">
        <v>82</v>
      </c>
      <c r="V131" t="s">
        <v>267</v>
      </c>
      <c r="W131" t="s">
        <v>267</v>
      </c>
      <c r="X131" t="s">
        <v>224</v>
      </c>
    </row>
    <row r="132" spans="1:24">
      <c r="A132">
        <v>13527</v>
      </c>
      <c r="B132" t="s">
        <v>25</v>
      </c>
      <c r="C132" t="str">
        <f t="shared" si="4"/>
        <v>INTEGRA Saloon</v>
      </c>
      <c r="D132" t="str">
        <f t="shared" si="5"/>
        <v>1.5</v>
      </c>
      <c r="E132" t="s">
        <v>26</v>
      </c>
      <c r="F132">
        <v>198501</v>
      </c>
      <c r="G132">
        <v>199012</v>
      </c>
      <c r="H132">
        <v>63</v>
      </c>
      <c r="I132">
        <v>85</v>
      </c>
      <c r="J132">
        <v>1488</v>
      </c>
      <c r="K132">
        <v>1692574</v>
      </c>
      <c r="L132" t="s">
        <v>332</v>
      </c>
      <c r="M132" t="str">
        <f>"561384B"</f>
        <v>561384B</v>
      </c>
      <c r="N132" t="str">
        <f>"561384B"</f>
        <v>561384B</v>
      </c>
      <c r="O132" t="str">
        <f>"561384"</f>
        <v>561384</v>
      </c>
      <c r="P132" t="s">
        <v>267</v>
      </c>
      <c r="Q132" t="str">
        <f>"3306434042850"</f>
        <v>3306434042850</v>
      </c>
      <c r="R132" t="s">
        <v>337</v>
      </c>
      <c r="S132" t="s">
        <v>338</v>
      </c>
      <c r="T132" s="1" t="s">
        <v>339</v>
      </c>
      <c r="U132">
        <v>82</v>
      </c>
      <c r="V132" t="s">
        <v>267</v>
      </c>
      <c r="W132" t="s">
        <v>267</v>
      </c>
      <c r="X132" t="s">
        <v>224</v>
      </c>
    </row>
    <row r="133" spans="1:24">
      <c r="A133">
        <v>13527</v>
      </c>
      <c r="B133" t="s">
        <v>25</v>
      </c>
      <c r="C133" t="str">
        <f t="shared" si="4"/>
        <v>INTEGRA Saloon</v>
      </c>
      <c r="D133" t="str">
        <f t="shared" si="5"/>
        <v>1.5</v>
      </c>
      <c r="E133" t="s">
        <v>26</v>
      </c>
      <c r="F133">
        <v>198501</v>
      </c>
      <c r="G133">
        <v>199012</v>
      </c>
      <c r="H133">
        <v>63</v>
      </c>
      <c r="I133">
        <v>85</v>
      </c>
      <c r="J133">
        <v>1488</v>
      </c>
      <c r="K133">
        <v>1692575</v>
      </c>
      <c r="L133" t="s">
        <v>332</v>
      </c>
      <c r="M133" t="str">
        <f>"561384BC"</f>
        <v>561384BC</v>
      </c>
      <c r="N133" t="str">
        <f>"561384BC"</f>
        <v>561384BC</v>
      </c>
      <c r="O133" t="str">
        <f>"561384B"</f>
        <v>561384B</v>
      </c>
      <c r="P133" t="s">
        <v>267</v>
      </c>
      <c r="Q133" t="str">
        <f>"3306437207881"</f>
        <v>3306437207881</v>
      </c>
      <c r="R133" t="s">
        <v>340</v>
      </c>
      <c r="S133" t="s">
        <v>338</v>
      </c>
      <c r="T133" s="1" t="s">
        <v>339</v>
      </c>
      <c r="U133">
        <v>82</v>
      </c>
      <c r="V133" t="s">
        <v>267</v>
      </c>
      <c r="W133" t="s">
        <v>267</v>
      </c>
      <c r="X133" t="s">
        <v>224</v>
      </c>
    </row>
    <row r="134" spans="1:24">
      <c r="A134">
        <v>13527</v>
      </c>
      <c r="B134" t="s">
        <v>25</v>
      </c>
      <c r="C134" t="str">
        <f t="shared" si="4"/>
        <v>INTEGRA Saloon</v>
      </c>
      <c r="D134" t="str">
        <f t="shared" si="5"/>
        <v>1.5</v>
      </c>
      <c r="E134" t="s">
        <v>26</v>
      </c>
      <c r="F134">
        <v>198501</v>
      </c>
      <c r="G134">
        <v>199012</v>
      </c>
      <c r="H134">
        <v>63</v>
      </c>
      <c r="I134">
        <v>85</v>
      </c>
      <c r="J134">
        <v>1488</v>
      </c>
      <c r="K134">
        <v>1693095</v>
      </c>
      <c r="L134" t="s">
        <v>332</v>
      </c>
      <c r="M134" t="str">
        <f>"562016B"</f>
        <v>562016B</v>
      </c>
      <c r="N134" t="str">
        <f>"562016B"</f>
        <v>562016B</v>
      </c>
      <c r="O134" t="str">
        <f>"562016"</f>
        <v>562016</v>
      </c>
      <c r="P134" t="s">
        <v>267</v>
      </c>
      <c r="Q134" t="str">
        <f>"3306430454633"</f>
        <v>3306430454633</v>
      </c>
      <c r="R134" t="s">
        <v>341</v>
      </c>
      <c r="S134" t="s">
        <v>342</v>
      </c>
      <c r="T134" s="1" t="s">
        <v>343</v>
      </c>
      <c r="U134">
        <v>82</v>
      </c>
      <c r="V134" t="s">
        <v>267</v>
      </c>
      <c r="W134" t="s">
        <v>267</v>
      </c>
      <c r="X134" t="s">
        <v>224</v>
      </c>
    </row>
    <row r="135" spans="1:24">
      <c r="A135">
        <v>13527</v>
      </c>
      <c r="B135" t="s">
        <v>25</v>
      </c>
      <c r="C135" t="str">
        <f t="shared" si="4"/>
        <v>INTEGRA Saloon</v>
      </c>
      <c r="D135" t="str">
        <f t="shared" si="5"/>
        <v>1.5</v>
      </c>
      <c r="E135" t="s">
        <v>26</v>
      </c>
      <c r="F135">
        <v>198501</v>
      </c>
      <c r="G135">
        <v>199012</v>
      </c>
      <c r="H135">
        <v>63</v>
      </c>
      <c r="I135">
        <v>85</v>
      </c>
      <c r="J135">
        <v>1488</v>
      </c>
      <c r="K135">
        <v>1693096</v>
      </c>
      <c r="L135" t="s">
        <v>332</v>
      </c>
      <c r="M135" t="str">
        <f>"562016BC"</f>
        <v>562016BC</v>
      </c>
      <c r="N135" t="str">
        <f>"562016BC"</f>
        <v>562016BC</v>
      </c>
      <c r="O135" t="str">
        <f>"562016B"</f>
        <v>562016B</v>
      </c>
      <c r="P135" t="s">
        <v>267</v>
      </c>
      <c r="Q135" t="str">
        <f>"3306437210287"</f>
        <v>3306437210287</v>
      </c>
      <c r="R135" t="s">
        <v>344</v>
      </c>
      <c r="S135" t="s">
        <v>342</v>
      </c>
      <c r="T135" s="1" t="s">
        <v>343</v>
      </c>
      <c r="U135">
        <v>82</v>
      </c>
      <c r="V135" t="s">
        <v>267</v>
      </c>
      <c r="W135" t="s">
        <v>267</v>
      </c>
      <c r="X135" t="s">
        <v>224</v>
      </c>
    </row>
    <row r="136" spans="1:24">
      <c r="A136">
        <v>13527</v>
      </c>
      <c r="B136" t="s">
        <v>25</v>
      </c>
      <c r="C136" t="str">
        <f t="shared" si="4"/>
        <v>INTEGRA Saloon</v>
      </c>
      <c r="D136" t="str">
        <f t="shared" si="5"/>
        <v>1.5</v>
      </c>
      <c r="E136" t="s">
        <v>26</v>
      </c>
      <c r="F136">
        <v>198501</v>
      </c>
      <c r="G136">
        <v>199012</v>
      </c>
      <c r="H136">
        <v>63</v>
      </c>
      <c r="I136">
        <v>85</v>
      </c>
      <c r="J136">
        <v>1488</v>
      </c>
      <c r="K136">
        <v>1811532</v>
      </c>
      <c r="L136" t="s">
        <v>228</v>
      </c>
      <c r="M136" t="str">
        <f>"DDF1358"</f>
        <v>DDF1358</v>
      </c>
      <c r="N136" t="str">
        <f>"DDF1358"</f>
        <v>DDF1358</v>
      </c>
      <c r="O136" t="str">
        <f>""</f>
        <v/>
      </c>
      <c r="P136" t="s">
        <v>267</v>
      </c>
      <c r="Q136" t="str">
        <f>"4044197335213"</f>
        <v>4044197335213</v>
      </c>
      <c r="R136" t="s">
        <v>286</v>
      </c>
      <c r="S136" t="s">
        <v>287</v>
      </c>
      <c r="T136" s="1" t="s">
        <v>345</v>
      </c>
      <c r="U136">
        <v>82</v>
      </c>
      <c r="V136" t="s">
        <v>267</v>
      </c>
      <c r="W136" t="s">
        <v>267</v>
      </c>
      <c r="X136" t="s">
        <v>224</v>
      </c>
    </row>
    <row r="137" spans="1:24">
      <c r="A137">
        <v>13527</v>
      </c>
      <c r="B137" t="s">
        <v>25</v>
      </c>
      <c r="C137" t="str">
        <f t="shared" si="4"/>
        <v>INTEGRA Saloon</v>
      </c>
      <c r="D137" t="str">
        <f t="shared" si="5"/>
        <v>1.5</v>
      </c>
      <c r="E137" t="s">
        <v>26</v>
      </c>
      <c r="F137">
        <v>198501</v>
      </c>
      <c r="G137">
        <v>199012</v>
      </c>
      <c r="H137">
        <v>63</v>
      </c>
      <c r="I137">
        <v>85</v>
      </c>
      <c r="J137">
        <v>1488</v>
      </c>
      <c r="K137">
        <v>1811533</v>
      </c>
      <c r="L137" t="s">
        <v>228</v>
      </c>
      <c r="M137" t="str">
        <f>"DDF13581"</f>
        <v>DDF13581</v>
      </c>
      <c r="N137" t="str">
        <f>"DDF1358-1"</f>
        <v>DDF1358-1</v>
      </c>
      <c r="O137" t="str">
        <f>"DDF1358"</f>
        <v>DDF1358</v>
      </c>
      <c r="P137" t="s">
        <v>267</v>
      </c>
      <c r="Q137" t="str">
        <f>"4044197585960"</f>
        <v>4044197585960</v>
      </c>
      <c r="R137" t="s">
        <v>346</v>
      </c>
      <c r="S137" t="s">
        <v>287</v>
      </c>
      <c r="T137" s="1" t="s">
        <v>347</v>
      </c>
      <c r="U137">
        <v>82</v>
      </c>
      <c r="V137" t="s">
        <v>267</v>
      </c>
      <c r="W137" t="s">
        <v>267</v>
      </c>
      <c r="X137" t="s">
        <v>224</v>
      </c>
    </row>
    <row r="138" spans="1:24">
      <c r="A138">
        <v>13527</v>
      </c>
      <c r="B138" t="s">
        <v>25</v>
      </c>
      <c r="C138" t="str">
        <f t="shared" si="4"/>
        <v>INTEGRA Saloon</v>
      </c>
      <c r="D138" t="str">
        <f t="shared" si="5"/>
        <v>1.5</v>
      </c>
      <c r="E138" t="s">
        <v>26</v>
      </c>
      <c r="F138">
        <v>198501</v>
      </c>
      <c r="G138">
        <v>199012</v>
      </c>
      <c r="H138">
        <v>63</v>
      </c>
      <c r="I138">
        <v>85</v>
      </c>
      <c r="J138">
        <v>1488</v>
      </c>
      <c r="K138">
        <v>1813171</v>
      </c>
      <c r="L138" t="s">
        <v>228</v>
      </c>
      <c r="M138" t="str">
        <f>"DDF377"</f>
        <v>DDF377</v>
      </c>
      <c r="N138" t="str">
        <f>"DDF377"</f>
        <v>DDF377</v>
      </c>
      <c r="O138" t="str">
        <f>""</f>
        <v/>
      </c>
      <c r="P138" t="s">
        <v>267</v>
      </c>
      <c r="Q138" t="str">
        <f>"5016687137798"</f>
        <v>5016687137798</v>
      </c>
      <c r="R138" s="1" t="s">
        <v>348</v>
      </c>
      <c r="T138" s="1" t="s">
        <v>349</v>
      </c>
      <c r="U138">
        <v>82</v>
      </c>
      <c r="V138" t="s">
        <v>267</v>
      </c>
      <c r="W138" t="s">
        <v>267</v>
      </c>
      <c r="X138" t="s">
        <v>224</v>
      </c>
    </row>
    <row r="139" spans="1:24">
      <c r="A139">
        <v>13527</v>
      </c>
      <c r="B139" t="s">
        <v>25</v>
      </c>
      <c r="C139" t="str">
        <f t="shared" si="4"/>
        <v>INTEGRA Saloon</v>
      </c>
      <c r="D139" t="str">
        <f t="shared" si="5"/>
        <v>1.5</v>
      </c>
      <c r="E139" t="s">
        <v>26</v>
      </c>
      <c r="F139">
        <v>198501</v>
      </c>
      <c r="G139">
        <v>199012</v>
      </c>
      <c r="H139">
        <v>63</v>
      </c>
      <c r="I139">
        <v>85</v>
      </c>
      <c r="J139">
        <v>1488</v>
      </c>
      <c r="K139">
        <v>1813172</v>
      </c>
      <c r="L139" t="s">
        <v>228</v>
      </c>
      <c r="M139" t="str">
        <f>"DDF3771"</f>
        <v>DDF3771</v>
      </c>
      <c r="N139" t="str">
        <f>"DDF377-1"</f>
        <v>DDF377-1</v>
      </c>
      <c r="O139" t="str">
        <f>"DDF377"</f>
        <v>DDF377</v>
      </c>
      <c r="P139" t="s">
        <v>267</v>
      </c>
      <c r="Q139" t="str">
        <f>"5016687341690"</f>
        <v>5016687341690</v>
      </c>
      <c r="R139" s="1" t="s">
        <v>350</v>
      </c>
      <c r="T139" s="1" t="s">
        <v>351</v>
      </c>
      <c r="U139">
        <v>82</v>
      </c>
      <c r="V139" t="s">
        <v>267</v>
      </c>
      <c r="W139" t="s">
        <v>267</v>
      </c>
      <c r="X139" t="s">
        <v>224</v>
      </c>
    </row>
    <row r="140" spans="1:24">
      <c r="A140">
        <v>13527</v>
      </c>
      <c r="B140" t="s">
        <v>25</v>
      </c>
      <c r="C140" t="str">
        <f t="shared" si="4"/>
        <v>INTEGRA Saloon</v>
      </c>
      <c r="D140" t="str">
        <f t="shared" si="5"/>
        <v>1.5</v>
      </c>
      <c r="E140" t="s">
        <v>26</v>
      </c>
      <c r="F140">
        <v>198501</v>
      </c>
      <c r="G140">
        <v>199012</v>
      </c>
      <c r="H140">
        <v>63</v>
      </c>
      <c r="I140">
        <v>85</v>
      </c>
      <c r="J140">
        <v>1488</v>
      </c>
      <c r="K140">
        <v>1813778</v>
      </c>
      <c r="L140" t="s">
        <v>228</v>
      </c>
      <c r="M140" t="str">
        <f>"DDF785"</f>
        <v>DDF785</v>
      </c>
      <c r="N140" t="str">
        <f>"DDF785"</f>
        <v>DDF785</v>
      </c>
      <c r="O140" t="str">
        <f>""</f>
        <v/>
      </c>
      <c r="P140" t="s">
        <v>267</v>
      </c>
      <c r="Q140" t="str">
        <f>"5016687178593"</f>
        <v>5016687178593</v>
      </c>
      <c r="R140" t="s">
        <v>352</v>
      </c>
      <c r="S140" t="s">
        <v>353</v>
      </c>
      <c r="T140" s="1" t="s">
        <v>354</v>
      </c>
      <c r="U140">
        <v>82</v>
      </c>
      <c r="V140" t="s">
        <v>267</v>
      </c>
      <c r="W140" t="s">
        <v>267</v>
      </c>
      <c r="X140" t="s">
        <v>224</v>
      </c>
    </row>
    <row r="141" spans="1:24">
      <c r="A141">
        <v>13527</v>
      </c>
      <c r="B141" t="s">
        <v>25</v>
      </c>
      <c r="C141" t="str">
        <f t="shared" si="4"/>
        <v>INTEGRA Saloon</v>
      </c>
      <c r="D141" t="str">
        <f t="shared" si="5"/>
        <v>1.5</v>
      </c>
      <c r="E141" t="s">
        <v>26</v>
      </c>
      <c r="F141">
        <v>198501</v>
      </c>
      <c r="G141">
        <v>199012</v>
      </c>
      <c r="H141">
        <v>63</v>
      </c>
      <c r="I141">
        <v>85</v>
      </c>
      <c r="J141">
        <v>1488</v>
      </c>
      <c r="K141">
        <v>1813779</v>
      </c>
      <c r="L141" t="s">
        <v>228</v>
      </c>
      <c r="M141" t="str">
        <f>"DDF7851"</f>
        <v>DDF7851</v>
      </c>
      <c r="N141" t="str">
        <f>"DDF785-1"</f>
        <v>DDF785-1</v>
      </c>
      <c r="O141" t="str">
        <f>"DDF785"</f>
        <v>DDF785</v>
      </c>
      <c r="P141" t="s">
        <v>267</v>
      </c>
      <c r="Q141" t="str">
        <f>"4044197593620"</f>
        <v>4044197593620</v>
      </c>
      <c r="R141" t="s">
        <v>355</v>
      </c>
      <c r="S141" t="s">
        <v>353</v>
      </c>
      <c r="T141" s="1" t="s">
        <v>356</v>
      </c>
      <c r="U141">
        <v>82</v>
      </c>
      <c r="V141" t="s">
        <v>267</v>
      </c>
      <c r="W141" t="s">
        <v>267</v>
      </c>
      <c r="X141" t="s">
        <v>224</v>
      </c>
    </row>
    <row r="142" spans="1:24">
      <c r="A142">
        <v>13527</v>
      </c>
      <c r="B142" t="s">
        <v>25</v>
      </c>
      <c r="C142" t="str">
        <f t="shared" si="4"/>
        <v>INTEGRA Saloon</v>
      </c>
      <c r="D142" t="str">
        <f t="shared" si="5"/>
        <v>1.5</v>
      </c>
      <c r="E142" t="s">
        <v>26</v>
      </c>
      <c r="F142">
        <v>198501</v>
      </c>
      <c r="G142">
        <v>199012</v>
      </c>
      <c r="H142">
        <v>63</v>
      </c>
      <c r="I142">
        <v>85</v>
      </c>
      <c r="J142">
        <v>1488</v>
      </c>
      <c r="K142">
        <v>1885918</v>
      </c>
      <c r="L142" t="s">
        <v>231</v>
      </c>
      <c r="M142" t="str">
        <f>"09502310"</f>
        <v>09502310</v>
      </c>
      <c r="N142" t="str">
        <f>"09.5023.10"</f>
        <v>09.5023.10</v>
      </c>
      <c r="O142" t="str">
        <f>""</f>
        <v/>
      </c>
      <c r="P142" t="s">
        <v>267</v>
      </c>
      <c r="Q142" t="str">
        <f>"8020584502310"</f>
        <v>8020584502310</v>
      </c>
      <c r="R142" s="1" t="s">
        <v>357</v>
      </c>
      <c r="S142" t="s">
        <v>310</v>
      </c>
      <c r="T142" s="1" t="s">
        <v>358</v>
      </c>
      <c r="U142">
        <v>82</v>
      </c>
      <c r="V142" t="s">
        <v>267</v>
      </c>
      <c r="W142" t="s">
        <v>267</v>
      </c>
      <c r="X142" t="s">
        <v>224</v>
      </c>
    </row>
    <row r="143" spans="1:24">
      <c r="A143">
        <v>13527</v>
      </c>
      <c r="B143" t="s">
        <v>25</v>
      </c>
      <c r="C143" t="str">
        <f t="shared" si="4"/>
        <v>INTEGRA Saloon</v>
      </c>
      <c r="D143" t="str">
        <f t="shared" si="5"/>
        <v>1.5</v>
      </c>
      <c r="E143" t="s">
        <v>26</v>
      </c>
      <c r="F143">
        <v>198501</v>
      </c>
      <c r="G143">
        <v>199012</v>
      </c>
      <c r="H143">
        <v>63</v>
      </c>
      <c r="I143">
        <v>85</v>
      </c>
      <c r="J143">
        <v>1488</v>
      </c>
      <c r="K143">
        <v>2107057</v>
      </c>
      <c r="L143" t="s">
        <v>95</v>
      </c>
      <c r="M143" t="str">
        <f>"353611927240"</f>
        <v>353611927240</v>
      </c>
      <c r="N143" t="str">
        <f>"353611927240"</f>
        <v>353611927240</v>
      </c>
      <c r="O143" t="str">
        <f>"119272.4"</f>
        <v>119272.4</v>
      </c>
      <c r="P143" t="s">
        <v>267</v>
      </c>
      <c r="Q143" t="str">
        <f>"8001063414041"</f>
        <v>8001063414041</v>
      </c>
      <c r="R143" t="s">
        <v>359</v>
      </c>
      <c r="S143" t="s">
        <v>360</v>
      </c>
      <c r="T143" s="1" t="s">
        <v>361</v>
      </c>
      <c r="U143">
        <v>82</v>
      </c>
      <c r="V143" t="s">
        <v>267</v>
      </c>
      <c r="W143" t="s">
        <v>267</v>
      </c>
      <c r="X143" t="s">
        <v>224</v>
      </c>
    </row>
    <row r="144" spans="1:24">
      <c r="A144">
        <v>13527</v>
      </c>
      <c r="B144" t="s">
        <v>25</v>
      </c>
      <c r="C144" t="str">
        <f t="shared" si="4"/>
        <v>INTEGRA Saloon</v>
      </c>
      <c r="D144" t="str">
        <f t="shared" si="5"/>
        <v>1.5</v>
      </c>
      <c r="E144" t="s">
        <v>26</v>
      </c>
      <c r="F144">
        <v>198501</v>
      </c>
      <c r="G144">
        <v>199012</v>
      </c>
      <c r="H144">
        <v>63</v>
      </c>
      <c r="I144">
        <v>85</v>
      </c>
      <c r="J144">
        <v>1488</v>
      </c>
      <c r="K144">
        <v>2110691</v>
      </c>
      <c r="L144" t="s">
        <v>95</v>
      </c>
      <c r="M144" t="str">
        <f>"360406027700"</f>
        <v>360406027700</v>
      </c>
      <c r="N144" t="str">
        <f>"360406027700"</f>
        <v>360406027700</v>
      </c>
      <c r="O144" t="str">
        <f>"DF0277"</f>
        <v>DF0277</v>
      </c>
      <c r="P144" t="s">
        <v>267</v>
      </c>
      <c r="Q144" t="str">
        <f>"8001063561134"</f>
        <v>8001063561134</v>
      </c>
      <c r="R144" t="s">
        <v>362</v>
      </c>
      <c r="S144" t="s">
        <v>360</v>
      </c>
      <c r="T144" s="1" t="s">
        <v>363</v>
      </c>
      <c r="U144">
        <v>82</v>
      </c>
      <c r="V144" t="s">
        <v>267</v>
      </c>
      <c r="W144" t="s">
        <v>267</v>
      </c>
      <c r="X144" t="s">
        <v>224</v>
      </c>
    </row>
    <row r="145" spans="1:24">
      <c r="A145">
        <v>13527</v>
      </c>
      <c r="B145" t="s">
        <v>25</v>
      </c>
      <c r="C145" t="str">
        <f t="shared" si="4"/>
        <v>INTEGRA Saloon</v>
      </c>
      <c r="D145" t="str">
        <f t="shared" si="5"/>
        <v>1.5</v>
      </c>
      <c r="E145" t="s">
        <v>26</v>
      </c>
      <c r="F145">
        <v>198501</v>
      </c>
      <c r="G145">
        <v>199012</v>
      </c>
      <c r="H145">
        <v>63</v>
      </c>
      <c r="I145">
        <v>85</v>
      </c>
      <c r="J145">
        <v>1488</v>
      </c>
      <c r="K145">
        <v>2358368</v>
      </c>
      <c r="L145" t="s">
        <v>364</v>
      </c>
      <c r="M145" t="str">
        <f>"BS0830"</f>
        <v>BS0830</v>
      </c>
      <c r="N145" t="str">
        <f>"BS-0830"</f>
        <v>BS-0830</v>
      </c>
      <c r="O145" t="str">
        <f>""</f>
        <v/>
      </c>
      <c r="P145" t="s">
        <v>267</v>
      </c>
      <c r="Q145" t="str">
        <f>"4031185105064"</f>
        <v>4031185105064</v>
      </c>
      <c r="R145" t="s">
        <v>365</v>
      </c>
      <c r="S145" t="s">
        <v>366</v>
      </c>
      <c r="T145" s="1" t="s">
        <v>367</v>
      </c>
      <c r="U145">
        <v>82</v>
      </c>
      <c r="V145" t="s">
        <v>267</v>
      </c>
      <c r="W145" t="s">
        <v>267</v>
      </c>
      <c r="X145" t="s">
        <v>224</v>
      </c>
    </row>
    <row r="146" spans="1:24">
      <c r="A146">
        <v>13527</v>
      </c>
      <c r="B146" t="s">
        <v>25</v>
      </c>
      <c r="C146" t="str">
        <f t="shared" si="4"/>
        <v>INTEGRA Saloon</v>
      </c>
      <c r="D146" t="str">
        <f t="shared" si="5"/>
        <v>1.5</v>
      </c>
      <c r="E146" t="s">
        <v>26</v>
      </c>
      <c r="F146">
        <v>198501</v>
      </c>
      <c r="G146">
        <v>199012</v>
      </c>
      <c r="H146">
        <v>63</v>
      </c>
      <c r="I146">
        <v>85</v>
      </c>
      <c r="J146">
        <v>1488</v>
      </c>
      <c r="K146">
        <v>2358628</v>
      </c>
      <c r="L146" t="s">
        <v>364</v>
      </c>
      <c r="M146" t="str">
        <f>"BS3690"</f>
        <v>BS3690</v>
      </c>
      <c r="N146" t="str">
        <f>"BS-3690"</f>
        <v>BS-3690</v>
      </c>
      <c r="O146" t="str">
        <f>""</f>
        <v/>
      </c>
      <c r="P146" t="s">
        <v>267</v>
      </c>
      <c r="Q146" t="str">
        <f>"4031185106467"</f>
        <v>4031185106467</v>
      </c>
      <c r="R146" t="s">
        <v>368</v>
      </c>
      <c r="S146" t="s">
        <v>369</v>
      </c>
      <c r="T146" s="1" t="s">
        <v>370</v>
      </c>
      <c r="U146">
        <v>82</v>
      </c>
      <c r="V146" t="s">
        <v>267</v>
      </c>
      <c r="W146" t="s">
        <v>267</v>
      </c>
      <c r="X146" t="s">
        <v>224</v>
      </c>
    </row>
    <row r="147" spans="1:24">
      <c r="A147">
        <v>13527</v>
      </c>
      <c r="B147" t="s">
        <v>25</v>
      </c>
      <c r="C147" t="str">
        <f t="shared" si="4"/>
        <v>INTEGRA Saloon</v>
      </c>
      <c r="D147" t="str">
        <f t="shared" si="5"/>
        <v>1.5</v>
      </c>
      <c r="E147" t="s">
        <v>26</v>
      </c>
      <c r="F147">
        <v>198501</v>
      </c>
      <c r="G147">
        <v>199012</v>
      </c>
      <c r="H147">
        <v>63</v>
      </c>
      <c r="I147">
        <v>85</v>
      </c>
      <c r="J147">
        <v>1488</v>
      </c>
      <c r="K147">
        <v>2548503</v>
      </c>
      <c r="L147" t="s">
        <v>371</v>
      </c>
      <c r="M147" t="str">
        <f>"636910"</f>
        <v>636910</v>
      </c>
      <c r="N147" t="str">
        <f>"6369.10"</f>
        <v>6369.10</v>
      </c>
      <c r="O147" t="str">
        <f>"DSX636910"</f>
        <v>DSX636910</v>
      </c>
      <c r="P147" t="s">
        <v>267</v>
      </c>
      <c r="Q147" t="str">
        <f>"8427975403292"</f>
        <v>8427975403292</v>
      </c>
      <c r="R147" t="s">
        <v>372</v>
      </c>
      <c r="T147" s="1" t="s">
        <v>373</v>
      </c>
      <c r="U147">
        <v>82</v>
      </c>
      <c r="V147" t="s">
        <v>267</v>
      </c>
      <c r="W147" t="s">
        <v>267</v>
      </c>
      <c r="X147" t="s">
        <v>224</v>
      </c>
    </row>
    <row r="148" spans="1:24">
      <c r="A148">
        <v>13527</v>
      </c>
      <c r="B148" t="s">
        <v>25</v>
      </c>
      <c r="C148" t="str">
        <f t="shared" si="4"/>
        <v>INTEGRA Saloon</v>
      </c>
      <c r="D148" t="str">
        <f t="shared" si="5"/>
        <v>1.5</v>
      </c>
      <c r="E148" t="s">
        <v>26</v>
      </c>
      <c r="F148">
        <v>198501</v>
      </c>
      <c r="G148">
        <v>199012</v>
      </c>
      <c r="H148">
        <v>63</v>
      </c>
      <c r="I148">
        <v>85</v>
      </c>
      <c r="J148">
        <v>1488</v>
      </c>
      <c r="K148">
        <v>2553925</v>
      </c>
      <c r="L148" t="s">
        <v>374</v>
      </c>
      <c r="M148" t="str">
        <f>"636910"</f>
        <v>636910</v>
      </c>
      <c r="N148" t="str">
        <f>"6369.10"</f>
        <v>6369.10</v>
      </c>
      <c r="O148" t="str">
        <f>"DCA636910"</f>
        <v>DCA636910</v>
      </c>
      <c r="P148" t="s">
        <v>267</v>
      </c>
      <c r="Q148" t="str">
        <f>"8427975153296"</f>
        <v>8427975153296</v>
      </c>
      <c r="R148" t="s">
        <v>375</v>
      </c>
      <c r="T148" s="1" t="s">
        <v>376</v>
      </c>
      <c r="U148">
        <v>82</v>
      </c>
      <c r="V148" t="s">
        <v>267</v>
      </c>
      <c r="W148" t="s">
        <v>267</v>
      </c>
      <c r="X148" t="s">
        <v>224</v>
      </c>
    </row>
    <row r="149" spans="1:24">
      <c r="A149">
        <v>13527</v>
      </c>
      <c r="B149" t="s">
        <v>25</v>
      </c>
      <c r="C149" t="str">
        <f t="shared" si="4"/>
        <v>INTEGRA Saloon</v>
      </c>
      <c r="D149" t="str">
        <f t="shared" si="5"/>
        <v>1.5</v>
      </c>
      <c r="E149" t="s">
        <v>26</v>
      </c>
      <c r="F149">
        <v>198501</v>
      </c>
      <c r="G149">
        <v>199012</v>
      </c>
      <c r="H149">
        <v>63</v>
      </c>
      <c r="I149">
        <v>85</v>
      </c>
      <c r="J149">
        <v>1488</v>
      </c>
      <c r="K149">
        <v>2602242</v>
      </c>
      <c r="L149" t="s">
        <v>377</v>
      </c>
      <c r="M149" t="str">
        <f>"DF1963"</f>
        <v>DF1963</v>
      </c>
      <c r="N149" t="str">
        <f>"DF1963"</f>
        <v>DF1963</v>
      </c>
      <c r="O149" t="str">
        <f>""</f>
        <v/>
      </c>
      <c r="P149" t="s">
        <v>267</v>
      </c>
      <c r="Q149" t="str">
        <f>"3322936196303"</f>
        <v>3322936196303</v>
      </c>
      <c r="R149" s="1" t="s">
        <v>378</v>
      </c>
      <c r="S149" t="s">
        <v>316</v>
      </c>
      <c r="T149" s="1" t="s">
        <v>379</v>
      </c>
      <c r="U149">
        <v>82</v>
      </c>
      <c r="V149" t="s">
        <v>267</v>
      </c>
      <c r="W149" t="s">
        <v>267</v>
      </c>
      <c r="X149" t="s">
        <v>224</v>
      </c>
    </row>
    <row r="150" spans="1:24">
      <c r="A150">
        <v>13527</v>
      </c>
      <c r="B150" t="s">
        <v>25</v>
      </c>
      <c r="C150" t="str">
        <f t="shared" si="4"/>
        <v>INTEGRA Saloon</v>
      </c>
      <c r="D150" t="str">
        <f t="shared" si="5"/>
        <v>1.5</v>
      </c>
      <c r="E150" t="s">
        <v>26</v>
      </c>
      <c r="F150">
        <v>198501</v>
      </c>
      <c r="G150">
        <v>199012</v>
      </c>
      <c r="H150">
        <v>63</v>
      </c>
      <c r="I150">
        <v>85</v>
      </c>
      <c r="J150">
        <v>1488</v>
      </c>
      <c r="K150">
        <v>2602543</v>
      </c>
      <c r="L150" t="s">
        <v>377</v>
      </c>
      <c r="M150" t="str">
        <f>"DF4004"</f>
        <v>DF4004</v>
      </c>
      <c r="N150" t="str">
        <f>"DF4004"</f>
        <v>DF4004</v>
      </c>
      <c r="O150" t="str">
        <f>""</f>
        <v/>
      </c>
      <c r="P150" t="s">
        <v>267</v>
      </c>
      <c r="Q150" t="str">
        <f>"3322937200566"</f>
        <v>3322937200566</v>
      </c>
      <c r="R150" t="s">
        <v>380</v>
      </c>
      <c r="S150" t="s">
        <v>334</v>
      </c>
      <c r="T150" s="1" t="s">
        <v>381</v>
      </c>
      <c r="U150">
        <v>82</v>
      </c>
      <c r="V150" t="s">
        <v>267</v>
      </c>
      <c r="W150" t="s">
        <v>267</v>
      </c>
      <c r="X150" t="s">
        <v>224</v>
      </c>
    </row>
    <row r="151" spans="1:24">
      <c r="A151">
        <v>13527</v>
      </c>
      <c r="B151" t="s">
        <v>25</v>
      </c>
      <c r="C151" t="str">
        <f t="shared" si="4"/>
        <v>INTEGRA Saloon</v>
      </c>
      <c r="D151" t="str">
        <f t="shared" si="5"/>
        <v>1.5</v>
      </c>
      <c r="E151" t="s">
        <v>26</v>
      </c>
      <c r="F151">
        <v>198501</v>
      </c>
      <c r="G151">
        <v>199012</v>
      </c>
      <c r="H151">
        <v>63</v>
      </c>
      <c r="I151">
        <v>85</v>
      </c>
      <c r="J151">
        <v>1488</v>
      </c>
      <c r="K151">
        <v>2602706</v>
      </c>
      <c r="L151" t="s">
        <v>377</v>
      </c>
      <c r="M151" t="str">
        <f>"DF4191"</f>
        <v>DF4191</v>
      </c>
      <c r="N151" t="str">
        <f>"DF4191"</f>
        <v>DF4191</v>
      </c>
      <c r="O151" t="str">
        <f>""</f>
        <v/>
      </c>
      <c r="P151" t="s">
        <v>267</v>
      </c>
      <c r="Q151" t="str">
        <f>"3322937320899"</f>
        <v>3322937320899</v>
      </c>
      <c r="R151" s="1" t="s">
        <v>382</v>
      </c>
      <c r="S151" t="s">
        <v>342</v>
      </c>
      <c r="T151" s="1" t="s">
        <v>383</v>
      </c>
      <c r="U151">
        <v>82</v>
      </c>
      <c r="V151" t="s">
        <v>267</v>
      </c>
      <c r="W151" t="s">
        <v>267</v>
      </c>
      <c r="X151" t="s">
        <v>224</v>
      </c>
    </row>
    <row r="152" spans="1:24">
      <c r="A152">
        <v>13527</v>
      </c>
      <c r="B152" t="s">
        <v>25</v>
      </c>
      <c r="C152" t="str">
        <f t="shared" si="4"/>
        <v>INTEGRA Saloon</v>
      </c>
      <c r="D152" t="str">
        <f t="shared" si="5"/>
        <v>1.5</v>
      </c>
      <c r="E152" t="s">
        <v>26</v>
      </c>
      <c r="F152">
        <v>198501</v>
      </c>
      <c r="G152">
        <v>199012</v>
      </c>
      <c r="H152">
        <v>63</v>
      </c>
      <c r="I152">
        <v>85</v>
      </c>
      <c r="J152">
        <v>1488</v>
      </c>
      <c r="K152">
        <v>2741236</v>
      </c>
      <c r="L152" t="s">
        <v>384</v>
      </c>
      <c r="M152" t="str">
        <f>"NBD170"</f>
        <v>NBD170</v>
      </c>
      <c r="N152" t="str">
        <f>"NBD170"</f>
        <v>NBD170</v>
      </c>
      <c r="O152" t="str">
        <f>""</f>
        <v/>
      </c>
      <c r="P152" t="s">
        <v>267</v>
      </c>
      <c r="Q152" t="str">
        <f>""</f>
        <v/>
      </c>
      <c r="R152" t="s">
        <v>385</v>
      </c>
      <c r="T152" s="1" t="s">
        <v>386</v>
      </c>
      <c r="U152">
        <v>82</v>
      </c>
      <c r="V152" t="s">
        <v>267</v>
      </c>
      <c r="W152" t="s">
        <v>267</v>
      </c>
      <c r="X152" t="s">
        <v>224</v>
      </c>
    </row>
    <row r="153" spans="1:24">
      <c r="A153">
        <v>13527</v>
      </c>
      <c r="B153" t="s">
        <v>25</v>
      </c>
      <c r="C153" t="str">
        <f t="shared" si="4"/>
        <v>INTEGRA Saloon</v>
      </c>
      <c r="D153" t="str">
        <f t="shared" si="5"/>
        <v>1.5</v>
      </c>
      <c r="E153" t="s">
        <v>26</v>
      </c>
      <c r="F153">
        <v>198501</v>
      </c>
      <c r="G153">
        <v>199012</v>
      </c>
      <c r="H153">
        <v>63</v>
      </c>
      <c r="I153">
        <v>85</v>
      </c>
      <c r="J153">
        <v>1488</v>
      </c>
      <c r="K153">
        <v>2993285</v>
      </c>
      <c r="L153" t="s">
        <v>242</v>
      </c>
      <c r="M153" t="str">
        <f>"WN1331"</f>
        <v>WN1331</v>
      </c>
      <c r="N153" t="str">
        <f>"WN1331"</f>
        <v>WN1331</v>
      </c>
      <c r="O153" t="str">
        <f>""</f>
        <v/>
      </c>
      <c r="P153" t="s">
        <v>267</v>
      </c>
      <c r="Q153" t="str">
        <f>"4044197405947"</f>
        <v>4044197405947</v>
      </c>
      <c r="R153" t="s">
        <v>387</v>
      </c>
      <c r="S153" t="s">
        <v>287</v>
      </c>
      <c r="T153" s="1" t="s">
        <v>388</v>
      </c>
      <c r="U153">
        <v>82</v>
      </c>
      <c r="V153" t="s">
        <v>267</v>
      </c>
      <c r="W153" t="s">
        <v>267</v>
      </c>
      <c r="X153" t="s">
        <v>224</v>
      </c>
    </row>
    <row r="154" spans="1:24">
      <c r="A154">
        <v>13527</v>
      </c>
      <c r="B154" t="s">
        <v>25</v>
      </c>
      <c r="C154" t="str">
        <f t="shared" si="4"/>
        <v>INTEGRA Saloon</v>
      </c>
      <c r="D154" t="str">
        <f t="shared" si="5"/>
        <v>1.5</v>
      </c>
      <c r="E154" t="s">
        <v>26</v>
      </c>
      <c r="F154">
        <v>198501</v>
      </c>
      <c r="G154">
        <v>199012</v>
      </c>
      <c r="H154">
        <v>63</v>
      </c>
      <c r="I154">
        <v>85</v>
      </c>
      <c r="J154">
        <v>1488</v>
      </c>
      <c r="K154">
        <v>2993721</v>
      </c>
      <c r="L154" t="s">
        <v>242</v>
      </c>
      <c r="M154" t="str">
        <f>"WN664"</f>
        <v>WN664</v>
      </c>
      <c r="N154" t="str">
        <f>"WN664"</f>
        <v>WN664</v>
      </c>
      <c r="O154" t="str">
        <f>""</f>
        <v/>
      </c>
      <c r="P154" t="s">
        <v>267</v>
      </c>
      <c r="Q154" t="str">
        <f>"8426345511698"</f>
        <v>8426345511698</v>
      </c>
      <c r="R154" s="1" t="s">
        <v>348</v>
      </c>
      <c r="T154" s="1" t="s">
        <v>389</v>
      </c>
      <c r="U154">
        <v>82</v>
      </c>
      <c r="V154" t="s">
        <v>267</v>
      </c>
      <c r="W154" t="s">
        <v>267</v>
      </c>
      <c r="X154" t="s">
        <v>224</v>
      </c>
    </row>
    <row r="155" spans="1:24">
      <c r="A155">
        <v>13527</v>
      </c>
      <c r="B155" t="s">
        <v>25</v>
      </c>
      <c r="C155" t="str">
        <f t="shared" si="4"/>
        <v>INTEGRA Saloon</v>
      </c>
      <c r="D155" t="str">
        <f t="shared" si="5"/>
        <v>1.5</v>
      </c>
      <c r="E155" t="s">
        <v>26</v>
      </c>
      <c r="F155">
        <v>198501</v>
      </c>
      <c r="G155">
        <v>199012</v>
      </c>
      <c r="H155">
        <v>63</v>
      </c>
      <c r="I155">
        <v>85</v>
      </c>
      <c r="J155">
        <v>1488</v>
      </c>
      <c r="K155">
        <v>2995292</v>
      </c>
      <c r="L155" t="s">
        <v>51</v>
      </c>
      <c r="M155" t="str">
        <f>"142916"</f>
        <v>142916</v>
      </c>
      <c r="N155" t="str">
        <f>"142.916"</f>
        <v>142.916</v>
      </c>
      <c r="O155" t="str">
        <f>"ref. IB: HO 14 1V"</f>
        <v>ref. IB: HO 14 1V</v>
      </c>
      <c r="P155" t="s">
        <v>267</v>
      </c>
      <c r="Q155" t="str">
        <f>"8029172016901"</f>
        <v>8029172016901</v>
      </c>
      <c r="R155" t="s">
        <v>390</v>
      </c>
      <c r="S155" t="s">
        <v>292</v>
      </c>
      <c r="T155" s="1" t="s">
        <v>293</v>
      </c>
      <c r="U155">
        <v>82</v>
      </c>
      <c r="V155" t="s">
        <v>267</v>
      </c>
      <c r="W155" t="s">
        <v>267</v>
      </c>
      <c r="X155" t="s">
        <v>224</v>
      </c>
    </row>
    <row r="156" spans="1:24">
      <c r="A156">
        <v>13527</v>
      </c>
      <c r="B156" t="s">
        <v>25</v>
      </c>
      <c r="C156" t="str">
        <f t="shared" si="4"/>
        <v>INTEGRA Saloon</v>
      </c>
      <c r="D156" t="str">
        <f t="shared" si="5"/>
        <v>1.5</v>
      </c>
      <c r="E156" t="s">
        <v>26</v>
      </c>
      <c r="F156">
        <v>198501</v>
      </c>
      <c r="G156">
        <v>199012</v>
      </c>
      <c r="H156">
        <v>63</v>
      </c>
      <c r="I156">
        <v>85</v>
      </c>
      <c r="J156">
        <v>1488</v>
      </c>
      <c r="K156">
        <v>3030120</v>
      </c>
      <c r="L156" t="s">
        <v>33</v>
      </c>
      <c r="M156" t="str">
        <f>"J3304019"</f>
        <v>J3304019</v>
      </c>
      <c r="N156" t="str">
        <f>"J3304019"</f>
        <v>J3304019</v>
      </c>
      <c r="O156" t="str">
        <f>""</f>
        <v/>
      </c>
      <c r="P156" t="s">
        <v>267</v>
      </c>
      <c r="Q156" t="str">
        <f>"8711768052010"</f>
        <v>8711768052010</v>
      </c>
      <c r="R156" t="s">
        <v>391</v>
      </c>
      <c r="S156" t="s">
        <v>392</v>
      </c>
      <c r="T156" s="1" t="s">
        <v>393</v>
      </c>
      <c r="U156">
        <v>82</v>
      </c>
      <c r="V156" t="s">
        <v>267</v>
      </c>
      <c r="W156" t="s">
        <v>267</v>
      </c>
      <c r="X156" t="s">
        <v>224</v>
      </c>
    </row>
    <row r="157" spans="1:24">
      <c r="A157">
        <v>13527</v>
      </c>
      <c r="B157" t="s">
        <v>25</v>
      </c>
      <c r="C157" t="str">
        <f t="shared" si="4"/>
        <v>INTEGRA Saloon</v>
      </c>
      <c r="D157" t="str">
        <f t="shared" si="5"/>
        <v>1.5</v>
      </c>
      <c r="E157" t="s">
        <v>26</v>
      </c>
      <c r="F157">
        <v>198501</v>
      </c>
      <c r="G157">
        <v>199012</v>
      </c>
      <c r="H157">
        <v>63</v>
      </c>
      <c r="I157">
        <v>85</v>
      </c>
      <c r="J157">
        <v>1488</v>
      </c>
      <c r="K157">
        <v>3203549</v>
      </c>
      <c r="L157" t="s">
        <v>394</v>
      </c>
      <c r="M157" t="str">
        <f>"TB215304"</f>
        <v>TB215304</v>
      </c>
      <c r="N157" t="str">
        <f>"TB215304"</f>
        <v>TB215304</v>
      </c>
      <c r="O157" t="str">
        <f>""</f>
        <v/>
      </c>
      <c r="P157" t="s">
        <v>267</v>
      </c>
      <c r="Q157" t="str">
        <f>""</f>
        <v/>
      </c>
      <c r="R157" t="s">
        <v>395</v>
      </c>
      <c r="T157" t="s">
        <v>396</v>
      </c>
      <c r="U157">
        <v>82</v>
      </c>
      <c r="V157" t="s">
        <v>267</v>
      </c>
      <c r="W157" t="s">
        <v>267</v>
      </c>
      <c r="X157" t="s">
        <v>224</v>
      </c>
    </row>
    <row r="158" spans="1:24">
      <c r="A158">
        <v>13527</v>
      </c>
      <c r="B158" t="s">
        <v>25</v>
      </c>
      <c r="C158" t="str">
        <f t="shared" si="4"/>
        <v>INTEGRA Saloon</v>
      </c>
      <c r="D158" t="str">
        <f t="shared" si="5"/>
        <v>1.5</v>
      </c>
      <c r="E158" t="s">
        <v>26</v>
      </c>
      <c r="F158">
        <v>198501</v>
      </c>
      <c r="G158">
        <v>199012</v>
      </c>
      <c r="H158">
        <v>63</v>
      </c>
      <c r="I158">
        <v>85</v>
      </c>
      <c r="J158">
        <v>1488</v>
      </c>
      <c r="K158">
        <v>3203823</v>
      </c>
      <c r="L158" t="s">
        <v>394</v>
      </c>
      <c r="M158" t="str">
        <f>"TB217305"</f>
        <v>TB217305</v>
      </c>
      <c r="N158" t="str">
        <f>"TB217305"</f>
        <v>TB217305</v>
      </c>
      <c r="O158" t="str">
        <f>""</f>
        <v/>
      </c>
      <c r="P158" t="s">
        <v>267</v>
      </c>
      <c r="Q158" t="str">
        <f>""</f>
        <v/>
      </c>
      <c r="R158" t="s">
        <v>397</v>
      </c>
      <c r="T158" t="s">
        <v>398</v>
      </c>
      <c r="U158">
        <v>82</v>
      </c>
      <c r="V158" t="s">
        <v>267</v>
      </c>
      <c r="W158" t="s">
        <v>267</v>
      </c>
      <c r="X158" t="s">
        <v>224</v>
      </c>
    </row>
    <row r="159" spans="1:24">
      <c r="A159">
        <v>13527</v>
      </c>
      <c r="B159" t="s">
        <v>25</v>
      </c>
      <c r="C159" t="str">
        <f t="shared" si="4"/>
        <v>INTEGRA Saloon</v>
      </c>
      <c r="D159" t="str">
        <f t="shared" si="5"/>
        <v>1.5</v>
      </c>
      <c r="E159" t="s">
        <v>26</v>
      </c>
      <c r="F159">
        <v>198501</v>
      </c>
      <c r="G159">
        <v>199012</v>
      </c>
      <c r="H159">
        <v>63</v>
      </c>
      <c r="I159">
        <v>85</v>
      </c>
      <c r="J159">
        <v>1488</v>
      </c>
      <c r="K159">
        <v>3203826</v>
      </c>
      <c r="L159" t="s">
        <v>394</v>
      </c>
      <c r="M159" t="str">
        <f>"TB217311"</f>
        <v>TB217311</v>
      </c>
      <c r="N159" t="str">
        <f>"TB217311"</f>
        <v>TB217311</v>
      </c>
      <c r="O159" t="str">
        <f>""</f>
        <v/>
      </c>
      <c r="P159" t="s">
        <v>267</v>
      </c>
      <c r="Q159" t="str">
        <f>""</f>
        <v/>
      </c>
      <c r="R159" t="s">
        <v>399</v>
      </c>
      <c r="T159" t="s">
        <v>400</v>
      </c>
      <c r="U159">
        <v>82</v>
      </c>
      <c r="V159" t="s">
        <v>267</v>
      </c>
      <c r="W159" t="s">
        <v>267</v>
      </c>
      <c r="X159" t="s">
        <v>224</v>
      </c>
    </row>
    <row r="160" spans="1:24">
      <c r="A160">
        <v>13527</v>
      </c>
      <c r="B160" t="s">
        <v>25</v>
      </c>
      <c r="C160" t="str">
        <f t="shared" si="4"/>
        <v>INTEGRA Saloon</v>
      </c>
      <c r="D160" t="str">
        <f t="shared" si="5"/>
        <v>1.5</v>
      </c>
      <c r="E160" t="s">
        <v>26</v>
      </c>
      <c r="F160">
        <v>198501</v>
      </c>
      <c r="G160">
        <v>199012</v>
      </c>
      <c r="H160">
        <v>63</v>
      </c>
      <c r="I160">
        <v>85</v>
      </c>
      <c r="J160">
        <v>1488</v>
      </c>
      <c r="K160">
        <v>3227005</v>
      </c>
      <c r="L160" t="s">
        <v>401</v>
      </c>
      <c r="M160" t="str">
        <f>"6019631"</f>
        <v>6019631</v>
      </c>
      <c r="N160" t="str">
        <f>"6019631"</f>
        <v>6019631</v>
      </c>
      <c r="O160" t="str">
        <f>""</f>
        <v/>
      </c>
      <c r="P160" t="s">
        <v>267</v>
      </c>
      <c r="Q160" t="str">
        <f>"3322937456741"</f>
        <v>3322937456741</v>
      </c>
      <c r="R160" s="1" t="s">
        <v>378</v>
      </c>
      <c r="S160" t="s">
        <v>316</v>
      </c>
      <c r="T160" s="1" t="s">
        <v>402</v>
      </c>
      <c r="U160">
        <v>82</v>
      </c>
      <c r="V160" t="s">
        <v>267</v>
      </c>
      <c r="W160" t="s">
        <v>267</v>
      </c>
      <c r="X160" t="s">
        <v>224</v>
      </c>
    </row>
    <row r="161" spans="1:24">
      <c r="A161">
        <v>13527</v>
      </c>
      <c r="B161" t="s">
        <v>25</v>
      </c>
      <c r="C161" t="str">
        <f t="shared" si="4"/>
        <v>INTEGRA Saloon</v>
      </c>
      <c r="D161" t="str">
        <f t="shared" si="5"/>
        <v>1.5</v>
      </c>
      <c r="E161" t="s">
        <v>26</v>
      </c>
      <c r="F161">
        <v>198501</v>
      </c>
      <c r="G161">
        <v>199012</v>
      </c>
      <c r="H161">
        <v>63</v>
      </c>
      <c r="I161">
        <v>85</v>
      </c>
      <c r="J161">
        <v>1488</v>
      </c>
      <c r="K161">
        <v>3227370</v>
      </c>
      <c r="L161" t="s">
        <v>401</v>
      </c>
      <c r="M161" t="str">
        <f>"6041914"</f>
        <v>6041914</v>
      </c>
      <c r="N161" t="str">
        <f>"6041914"</f>
        <v>6041914</v>
      </c>
      <c r="O161" t="str">
        <f>""</f>
        <v/>
      </c>
      <c r="P161" t="s">
        <v>267</v>
      </c>
      <c r="Q161" t="str">
        <f>"3322937458608"</f>
        <v>3322937458608</v>
      </c>
      <c r="R161" s="1" t="s">
        <v>382</v>
      </c>
      <c r="S161" t="s">
        <v>342</v>
      </c>
      <c r="T161" s="1" t="s">
        <v>403</v>
      </c>
      <c r="U161">
        <v>82</v>
      </c>
      <c r="V161" t="s">
        <v>267</v>
      </c>
      <c r="W161" t="s">
        <v>267</v>
      </c>
      <c r="X161" t="s">
        <v>224</v>
      </c>
    </row>
    <row r="162" spans="1:24">
      <c r="A162">
        <v>13527</v>
      </c>
      <c r="B162" t="s">
        <v>25</v>
      </c>
      <c r="C162" t="str">
        <f t="shared" si="4"/>
        <v>INTEGRA Saloon</v>
      </c>
      <c r="D162" t="str">
        <f t="shared" si="5"/>
        <v>1.5</v>
      </c>
      <c r="E162" t="s">
        <v>26</v>
      </c>
      <c r="F162">
        <v>198501</v>
      </c>
      <c r="G162">
        <v>199012</v>
      </c>
      <c r="H162">
        <v>63</v>
      </c>
      <c r="I162">
        <v>85</v>
      </c>
      <c r="J162">
        <v>1488</v>
      </c>
      <c r="K162">
        <v>3232028</v>
      </c>
      <c r="L162" t="s">
        <v>404</v>
      </c>
      <c r="M162" t="str">
        <f>"24202"</f>
        <v>24202</v>
      </c>
      <c r="N162" t="str">
        <f>"24202"</f>
        <v>24202</v>
      </c>
      <c r="O162" t="str">
        <f>""</f>
        <v/>
      </c>
      <c r="P162" t="s">
        <v>267</v>
      </c>
      <c r="Q162" t="str">
        <f>"8020584242025"</f>
        <v>8020584242025</v>
      </c>
      <c r="R162" s="1" t="s">
        <v>405</v>
      </c>
      <c r="S162" t="s">
        <v>310</v>
      </c>
      <c r="T162" s="1" t="s">
        <v>406</v>
      </c>
      <c r="U162">
        <v>82</v>
      </c>
      <c r="V162" t="s">
        <v>267</v>
      </c>
      <c r="W162" t="s">
        <v>267</v>
      </c>
      <c r="X162" t="s">
        <v>224</v>
      </c>
    </row>
    <row r="163" spans="1:24">
      <c r="A163">
        <v>13527</v>
      </c>
      <c r="B163" t="s">
        <v>25</v>
      </c>
      <c r="C163" t="str">
        <f t="shared" si="4"/>
        <v>INTEGRA Saloon</v>
      </c>
      <c r="D163" t="str">
        <f t="shared" si="5"/>
        <v>1.5</v>
      </c>
      <c r="E163" t="s">
        <v>26</v>
      </c>
      <c r="F163">
        <v>198501</v>
      </c>
      <c r="G163">
        <v>199012</v>
      </c>
      <c r="H163">
        <v>63</v>
      </c>
      <c r="I163">
        <v>85</v>
      </c>
      <c r="J163">
        <v>1488</v>
      </c>
      <c r="K163">
        <v>3245167</v>
      </c>
      <c r="L163" t="s">
        <v>199</v>
      </c>
      <c r="M163" t="str">
        <f>"636910"</f>
        <v>636910</v>
      </c>
      <c r="N163" t="str">
        <f>"6369 10"</f>
        <v>6369 10</v>
      </c>
      <c r="O163" t="str">
        <f>""</f>
        <v/>
      </c>
      <c r="P163" t="s">
        <v>267</v>
      </c>
      <c r="Q163" t="str">
        <f>""</f>
        <v/>
      </c>
      <c r="R163" t="s">
        <v>375</v>
      </c>
      <c r="T163" s="1" t="s">
        <v>376</v>
      </c>
      <c r="U163">
        <v>82</v>
      </c>
      <c r="V163" t="s">
        <v>267</v>
      </c>
      <c r="W163" t="s">
        <v>267</v>
      </c>
      <c r="X163" t="s">
        <v>224</v>
      </c>
    </row>
    <row r="164" spans="1:24">
      <c r="A164">
        <v>13527</v>
      </c>
      <c r="B164" t="s">
        <v>25</v>
      </c>
      <c r="C164" t="str">
        <f t="shared" si="4"/>
        <v>INTEGRA Saloon</v>
      </c>
      <c r="D164" t="str">
        <f t="shared" si="5"/>
        <v>1.5</v>
      </c>
      <c r="E164" t="s">
        <v>26</v>
      </c>
      <c r="F164">
        <v>198501</v>
      </c>
      <c r="G164">
        <v>199012</v>
      </c>
      <c r="H164">
        <v>63</v>
      </c>
      <c r="I164">
        <v>85</v>
      </c>
      <c r="J164">
        <v>1488</v>
      </c>
      <c r="K164">
        <v>3285509</v>
      </c>
      <c r="L164" t="s">
        <v>407</v>
      </c>
      <c r="M164" t="str">
        <f>"BS7938"</f>
        <v>BS7938</v>
      </c>
      <c r="N164" t="str">
        <f>"BS 7938"</f>
        <v>BS 7938</v>
      </c>
      <c r="O164" t="str">
        <f>""</f>
        <v/>
      </c>
      <c r="P164" t="s">
        <v>267</v>
      </c>
      <c r="Q164" t="str">
        <f>"8020584979389"</f>
        <v>8020584979389</v>
      </c>
      <c r="R164" s="1" t="s">
        <v>408</v>
      </c>
      <c r="S164" t="s">
        <v>310</v>
      </c>
      <c r="T164" s="1" t="s">
        <v>409</v>
      </c>
      <c r="U164">
        <v>82</v>
      </c>
      <c r="V164" t="s">
        <v>267</v>
      </c>
      <c r="W164" t="s">
        <v>267</v>
      </c>
      <c r="X164" t="s">
        <v>224</v>
      </c>
    </row>
    <row r="165" spans="1:24">
      <c r="A165">
        <v>13527</v>
      </c>
      <c r="B165" t="s">
        <v>25</v>
      </c>
      <c r="C165" t="str">
        <f t="shared" si="4"/>
        <v>INTEGRA Saloon</v>
      </c>
      <c r="D165" t="str">
        <f t="shared" si="5"/>
        <v>1.5</v>
      </c>
      <c r="E165" t="s">
        <v>26</v>
      </c>
      <c r="F165">
        <v>198501</v>
      </c>
      <c r="G165">
        <v>199012</v>
      </c>
      <c r="H165">
        <v>63</v>
      </c>
      <c r="I165">
        <v>85</v>
      </c>
      <c r="J165">
        <v>1488</v>
      </c>
      <c r="K165">
        <v>3655922</v>
      </c>
      <c r="L165" t="s">
        <v>410</v>
      </c>
      <c r="M165" t="str">
        <f>"D636910"</f>
        <v>D636910</v>
      </c>
      <c r="N165" t="str">
        <f>"D6369.10"</f>
        <v>D6369.10</v>
      </c>
      <c r="O165" t="str">
        <f>"DSA636910"</f>
        <v>DSA636910</v>
      </c>
      <c r="P165" t="s">
        <v>267</v>
      </c>
      <c r="Q165" t="str">
        <f>"8427975403292"</f>
        <v>8427975403292</v>
      </c>
      <c r="R165" t="s">
        <v>372</v>
      </c>
      <c r="T165" s="1" t="s">
        <v>411</v>
      </c>
      <c r="U165">
        <v>82</v>
      </c>
      <c r="V165" t="s">
        <v>267</v>
      </c>
      <c r="W165" t="s">
        <v>267</v>
      </c>
      <c r="X165" t="s">
        <v>224</v>
      </c>
    </row>
    <row r="166" spans="1:24">
      <c r="A166">
        <v>13527</v>
      </c>
      <c r="B166" t="s">
        <v>25</v>
      </c>
      <c r="C166" t="str">
        <f t="shared" si="4"/>
        <v>INTEGRA Saloon</v>
      </c>
      <c r="D166" t="str">
        <f t="shared" si="5"/>
        <v>1.5</v>
      </c>
      <c r="E166" t="s">
        <v>26</v>
      </c>
      <c r="F166">
        <v>198501</v>
      </c>
      <c r="G166">
        <v>199012</v>
      </c>
      <c r="H166">
        <v>63</v>
      </c>
      <c r="I166">
        <v>85</v>
      </c>
      <c r="J166">
        <v>1488</v>
      </c>
      <c r="K166">
        <v>3708404</v>
      </c>
      <c r="L166" t="s">
        <v>412</v>
      </c>
      <c r="M166" t="str">
        <f>"DI952450"</f>
        <v>DI952450</v>
      </c>
      <c r="N166" t="str">
        <f>"DI952450"</f>
        <v>DI952450</v>
      </c>
      <c r="O166" t="str">
        <f>""</f>
        <v/>
      </c>
      <c r="P166" t="s">
        <v>267</v>
      </c>
      <c r="Q166" t="str">
        <f>""</f>
        <v/>
      </c>
      <c r="R166" t="s">
        <v>413</v>
      </c>
      <c r="S166" t="s">
        <v>316</v>
      </c>
      <c r="T166" s="1" t="s">
        <v>414</v>
      </c>
      <c r="U166">
        <v>82</v>
      </c>
      <c r="V166" t="s">
        <v>267</v>
      </c>
      <c r="W166" t="s">
        <v>267</v>
      </c>
      <c r="X166" t="s">
        <v>224</v>
      </c>
    </row>
    <row r="167" spans="1:24">
      <c r="A167">
        <v>13527</v>
      </c>
      <c r="B167" t="s">
        <v>25</v>
      </c>
      <c r="C167" t="str">
        <f t="shared" si="4"/>
        <v>INTEGRA Saloon</v>
      </c>
      <c r="D167" t="str">
        <f t="shared" si="5"/>
        <v>1.5</v>
      </c>
      <c r="E167" t="s">
        <v>26</v>
      </c>
      <c r="F167">
        <v>198501</v>
      </c>
      <c r="G167">
        <v>199012</v>
      </c>
      <c r="H167">
        <v>63</v>
      </c>
      <c r="I167">
        <v>85</v>
      </c>
      <c r="J167">
        <v>1488</v>
      </c>
      <c r="K167">
        <v>3708405</v>
      </c>
      <c r="L167" t="s">
        <v>412</v>
      </c>
      <c r="M167" t="str">
        <f>"DI952460"</f>
        <v>DI952460</v>
      </c>
      <c r="N167" t="str">
        <f>"DI952460"</f>
        <v>DI952460</v>
      </c>
      <c r="O167" t="str">
        <f>""</f>
        <v/>
      </c>
      <c r="P167" t="s">
        <v>267</v>
      </c>
      <c r="Q167" t="str">
        <f>"5050590204796"</f>
        <v>5050590204796</v>
      </c>
      <c r="R167" t="s">
        <v>415</v>
      </c>
      <c r="S167" t="s">
        <v>334</v>
      </c>
      <c r="T167" t="s">
        <v>416</v>
      </c>
      <c r="U167">
        <v>82</v>
      </c>
      <c r="V167" t="s">
        <v>267</v>
      </c>
      <c r="W167" t="s">
        <v>267</v>
      </c>
      <c r="X167" t="s">
        <v>224</v>
      </c>
    </row>
    <row r="168" spans="1:24">
      <c r="A168">
        <v>13527</v>
      </c>
      <c r="B168" t="s">
        <v>25</v>
      </c>
      <c r="C168" t="str">
        <f t="shared" si="4"/>
        <v>INTEGRA Saloon</v>
      </c>
      <c r="D168" t="str">
        <f t="shared" si="5"/>
        <v>1.5</v>
      </c>
      <c r="E168" t="s">
        <v>26</v>
      </c>
      <c r="F168">
        <v>198501</v>
      </c>
      <c r="G168">
        <v>199012</v>
      </c>
      <c r="H168">
        <v>63</v>
      </c>
      <c r="I168">
        <v>85</v>
      </c>
      <c r="J168">
        <v>1488</v>
      </c>
      <c r="K168">
        <v>3708691</v>
      </c>
      <c r="L168" t="s">
        <v>412</v>
      </c>
      <c r="M168" t="str">
        <f>"DI955373"</f>
        <v>DI955373</v>
      </c>
      <c r="N168" t="str">
        <f>"DI955373"</f>
        <v>DI955373</v>
      </c>
      <c r="O168" t="str">
        <f>""</f>
        <v/>
      </c>
      <c r="P168" t="s">
        <v>267</v>
      </c>
      <c r="Q168" t="str">
        <f>""</f>
        <v/>
      </c>
      <c r="R168" t="s">
        <v>417</v>
      </c>
      <c r="S168" t="s">
        <v>342</v>
      </c>
      <c r="T168" s="1" t="s">
        <v>418</v>
      </c>
      <c r="U168">
        <v>82</v>
      </c>
      <c r="V168" t="s">
        <v>267</v>
      </c>
      <c r="W168" t="s">
        <v>267</v>
      </c>
      <c r="X168" t="s">
        <v>224</v>
      </c>
    </row>
    <row r="169" spans="1:24">
      <c r="A169">
        <v>13527</v>
      </c>
      <c r="B169" t="s">
        <v>25</v>
      </c>
      <c r="C169" t="str">
        <f t="shared" si="4"/>
        <v>INTEGRA Saloon</v>
      </c>
      <c r="D169" t="str">
        <f t="shared" si="5"/>
        <v>1.5</v>
      </c>
      <c r="E169" t="s">
        <v>26</v>
      </c>
      <c r="F169">
        <v>198501</v>
      </c>
      <c r="G169">
        <v>199012</v>
      </c>
      <c r="H169">
        <v>63</v>
      </c>
      <c r="I169">
        <v>85</v>
      </c>
      <c r="J169">
        <v>1488</v>
      </c>
      <c r="K169">
        <v>3837763</v>
      </c>
      <c r="L169" t="s">
        <v>419</v>
      </c>
      <c r="M169" t="str">
        <f>"ADC0510"</f>
        <v>ADC0510</v>
      </c>
      <c r="N169" t="str">
        <f>"ADC0510"</f>
        <v>ADC0510</v>
      </c>
      <c r="O169" t="str">
        <f>""</f>
        <v/>
      </c>
      <c r="P169" t="s">
        <v>267</v>
      </c>
      <c r="Q169" t="str">
        <f>""</f>
        <v/>
      </c>
      <c r="R169" s="1" t="s">
        <v>420</v>
      </c>
      <c r="S169" t="s">
        <v>421</v>
      </c>
      <c r="T169" s="1" t="s">
        <v>422</v>
      </c>
      <c r="U169">
        <v>82</v>
      </c>
      <c r="V169" t="s">
        <v>267</v>
      </c>
      <c r="W169" t="s">
        <v>267</v>
      </c>
      <c r="X169" t="s">
        <v>224</v>
      </c>
    </row>
    <row r="170" spans="1:24">
      <c r="A170">
        <v>13527</v>
      </c>
      <c r="B170" t="s">
        <v>25</v>
      </c>
      <c r="C170" t="str">
        <f t="shared" si="4"/>
        <v>INTEGRA Saloon</v>
      </c>
      <c r="D170" t="str">
        <f t="shared" si="5"/>
        <v>1.5</v>
      </c>
      <c r="E170" t="s">
        <v>26</v>
      </c>
      <c r="F170">
        <v>198501</v>
      </c>
      <c r="G170">
        <v>199012</v>
      </c>
      <c r="H170">
        <v>63</v>
      </c>
      <c r="I170">
        <v>85</v>
      </c>
      <c r="J170">
        <v>1488</v>
      </c>
      <c r="K170">
        <v>3963695</v>
      </c>
      <c r="L170" t="s">
        <v>27</v>
      </c>
      <c r="M170" t="str">
        <f>"H03507"</f>
        <v>H03507</v>
      </c>
      <c r="N170" t="str">
        <f>"H035-07"</f>
        <v>H035-07</v>
      </c>
      <c r="O170" t="str">
        <f>""</f>
        <v/>
      </c>
      <c r="P170" t="s">
        <v>267</v>
      </c>
      <c r="Q170" t="str">
        <f>"8718993206065"</f>
        <v>8718993206065</v>
      </c>
      <c r="R170" s="1" t="s">
        <v>423</v>
      </c>
      <c r="S170" t="s">
        <v>424</v>
      </c>
      <c r="T170" s="1" t="s">
        <v>425</v>
      </c>
      <c r="U170">
        <v>82</v>
      </c>
      <c r="V170" t="s">
        <v>267</v>
      </c>
      <c r="W170" t="s">
        <v>267</v>
      </c>
      <c r="X170" t="s">
        <v>224</v>
      </c>
    </row>
    <row r="171" spans="1:24">
      <c r="A171">
        <v>13527</v>
      </c>
      <c r="B171" t="s">
        <v>25</v>
      </c>
      <c r="C171" t="str">
        <f t="shared" si="4"/>
        <v>INTEGRA Saloon</v>
      </c>
      <c r="D171" t="str">
        <f t="shared" si="5"/>
        <v>1.5</v>
      </c>
      <c r="E171" t="s">
        <v>26</v>
      </c>
      <c r="F171">
        <v>198501</v>
      </c>
      <c r="G171">
        <v>199012</v>
      </c>
      <c r="H171">
        <v>63</v>
      </c>
      <c r="I171">
        <v>85</v>
      </c>
      <c r="J171">
        <v>1488</v>
      </c>
      <c r="K171">
        <v>4051288</v>
      </c>
      <c r="L171" t="s">
        <v>426</v>
      </c>
      <c r="M171" t="str">
        <f>"6281496"</f>
        <v>6281496</v>
      </c>
      <c r="N171" t="str">
        <f>"628.1496"</f>
        <v>628.1496</v>
      </c>
      <c r="O171" t="str">
        <f>""</f>
        <v/>
      </c>
      <c r="P171" t="s">
        <v>267</v>
      </c>
      <c r="Q171" t="str">
        <f>"8432509048382"</f>
        <v>8432509048382</v>
      </c>
      <c r="R171" s="1" t="s">
        <v>427</v>
      </c>
      <c r="S171" t="s">
        <v>310</v>
      </c>
      <c r="T171" s="1" t="s">
        <v>358</v>
      </c>
      <c r="U171">
        <v>82</v>
      </c>
      <c r="V171" t="s">
        <v>267</v>
      </c>
      <c r="W171" t="s">
        <v>267</v>
      </c>
      <c r="X171" t="s">
        <v>224</v>
      </c>
    </row>
    <row r="172" spans="1:24">
      <c r="A172">
        <v>13527</v>
      </c>
      <c r="B172" t="s">
        <v>25</v>
      </c>
      <c r="C172" t="str">
        <f t="shared" si="4"/>
        <v>INTEGRA Saloon</v>
      </c>
      <c r="D172" t="str">
        <f t="shared" si="5"/>
        <v>1.5</v>
      </c>
      <c r="E172" t="s">
        <v>26</v>
      </c>
      <c r="F172">
        <v>198501</v>
      </c>
      <c r="G172">
        <v>199012</v>
      </c>
      <c r="H172">
        <v>63</v>
      </c>
      <c r="I172">
        <v>85</v>
      </c>
      <c r="J172">
        <v>1488</v>
      </c>
      <c r="K172">
        <v>4199259</v>
      </c>
      <c r="L172" t="s">
        <v>255</v>
      </c>
      <c r="M172" t="str">
        <f>"C34019ABE"</f>
        <v>C34019ABE</v>
      </c>
      <c r="N172" t="str">
        <f>"C34019ABE"</f>
        <v>C34019ABE</v>
      </c>
      <c r="O172" t="str">
        <f>""</f>
        <v/>
      </c>
      <c r="P172" t="s">
        <v>267</v>
      </c>
      <c r="Q172" t="str">
        <f>""</f>
        <v/>
      </c>
      <c r="R172" t="s">
        <v>428</v>
      </c>
      <c r="S172" t="s">
        <v>429</v>
      </c>
      <c r="T172" s="1" t="s">
        <v>430</v>
      </c>
      <c r="U172">
        <v>82</v>
      </c>
      <c r="V172" t="s">
        <v>267</v>
      </c>
      <c r="W172" t="s">
        <v>267</v>
      </c>
      <c r="X172" t="s">
        <v>224</v>
      </c>
    </row>
    <row r="173" spans="1:24">
      <c r="A173">
        <v>13527</v>
      </c>
      <c r="B173" t="s">
        <v>25</v>
      </c>
      <c r="C173" t="str">
        <f t="shared" si="4"/>
        <v>INTEGRA Saloon</v>
      </c>
      <c r="D173" t="str">
        <f t="shared" si="5"/>
        <v>1.5</v>
      </c>
      <c r="E173" t="s">
        <v>26</v>
      </c>
      <c r="F173">
        <v>198501</v>
      </c>
      <c r="G173">
        <v>199012</v>
      </c>
      <c r="H173">
        <v>63</v>
      </c>
      <c r="I173">
        <v>85</v>
      </c>
      <c r="J173">
        <v>1488</v>
      </c>
      <c r="K173">
        <v>4199264</v>
      </c>
      <c r="L173" t="s">
        <v>255</v>
      </c>
      <c r="M173" t="str">
        <f>"C34026ABE"</f>
        <v>C34026ABE</v>
      </c>
      <c r="N173" t="str">
        <f>"C34026ABE"</f>
        <v>C34026ABE</v>
      </c>
      <c r="O173" t="str">
        <f>""</f>
        <v/>
      </c>
      <c r="P173" t="s">
        <v>267</v>
      </c>
      <c r="Q173" t="str">
        <f>""</f>
        <v/>
      </c>
      <c r="R173" t="s">
        <v>431</v>
      </c>
      <c r="S173" t="s">
        <v>432</v>
      </c>
      <c r="T173" s="1" t="s">
        <v>433</v>
      </c>
      <c r="U173">
        <v>82</v>
      </c>
      <c r="V173" t="s">
        <v>267</v>
      </c>
      <c r="W173" t="s">
        <v>267</v>
      </c>
      <c r="X173" t="s">
        <v>224</v>
      </c>
    </row>
    <row r="174" spans="1:24">
      <c r="A174">
        <v>13527</v>
      </c>
      <c r="B174" t="s">
        <v>25</v>
      </c>
      <c r="C174" t="str">
        <f t="shared" si="4"/>
        <v>INTEGRA Saloon</v>
      </c>
      <c r="D174" t="str">
        <f t="shared" si="5"/>
        <v>1.5</v>
      </c>
      <c r="E174" t="s">
        <v>26</v>
      </c>
      <c r="F174">
        <v>198501</v>
      </c>
      <c r="G174">
        <v>199012</v>
      </c>
      <c r="H174">
        <v>63</v>
      </c>
      <c r="I174">
        <v>85</v>
      </c>
      <c r="J174">
        <v>1488</v>
      </c>
      <c r="K174">
        <v>4199852</v>
      </c>
      <c r="L174" t="s">
        <v>255</v>
      </c>
      <c r="M174" t="str">
        <f>"C44014ABE"</f>
        <v>C44014ABE</v>
      </c>
      <c r="N174" t="str">
        <f>"C44014ABE"</f>
        <v>C44014ABE</v>
      </c>
      <c r="O174" t="str">
        <f>""</f>
        <v/>
      </c>
      <c r="P174" t="s">
        <v>267</v>
      </c>
      <c r="Q174" t="str">
        <f>""</f>
        <v/>
      </c>
      <c r="R174" t="s">
        <v>434</v>
      </c>
      <c r="S174" t="s">
        <v>342</v>
      </c>
      <c r="T174" s="1" t="s">
        <v>435</v>
      </c>
      <c r="U174">
        <v>82</v>
      </c>
      <c r="V174" t="s">
        <v>267</v>
      </c>
      <c r="W174" t="s">
        <v>267</v>
      </c>
      <c r="X174" t="s">
        <v>224</v>
      </c>
    </row>
    <row r="175" spans="1:24">
      <c r="A175">
        <v>13527</v>
      </c>
      <c r="B175" t="s">
        <v>25</v>
      </c>
      <c r="C175" t="str">
        <f t="shared" si="4"/>
        <v>INTEGRA Saloon</v>
      </c>
      <c r="D175" t="str">
        <f t="shared" si="5"/>
        <v>1.5</v>
      </c>
      <c r="E175" t="s">
        <v>26</v>
      </c>
      <c r="F175">
        <v>198501</v>
      </c>
      <c r="G175">
        <v>199012</v>
      </c>
      <c r="H175">
        <v>63</v>
      </c>
      <c r="I175">
        <v>85</v>
      </c>
      <c r="J175">
        <v>1488</v>
      </c>
      <c r="K175">
        <v>4269392</v>
      </c>
      <c r="L175" t="s">
        <v>436</v>
      </c>
      <c r="M175" t="str">
        <f>"BD1045"</f>
        <v>BD1045</v>
      </c>
      <c r="N175" t="str">
        <f>"BD1045"</f>
        <v>BD1045</v>
      </c>
      <c r="O175" t="str">
        <f>""</f>
        <v/>
      </c>
      <c r="P175" t="s">
        <v>267</v>
      </c>
      <c r="Q175" t="str">
        <f>""</f>
        <v/>
      </c>
      <c r="R175" t="s">
        <v>437</v>
      </c>
      <c r="T175" s="1" t="s">
        <v>438</v>
      </c>
      <c r="U175">
        <v>82</v>
      </c>
      <c r="V175" t="s">
        <v>267</v>
      </c>
      <c r="W175" t="s">
        <v>267</v>
      </c>
      <c r="X175" t="s">
        <v>224</v>
      </c>
    </row>
    <row r="176" spans="1:24">
      <c r="A176">
        <v>13527</v>
      </c>
      <c r="B176" t="s">
        <v>25</v>
      </c>
      <c r="C176" t="str">
        <f t="shared" si="4"/>
        <v>INTEGRA Saloon</v>
      </c>
      <c r="D176" t="str">
        <f t="shared" si="5"/>
        <v>1.5</v>
      </c>
      <c r="E176" t="s">
        <v>26</v>
      </c>
      <c r="F176">
        <v>198501</v>
      </c>
      <c r="G176">
        <v>199012</v>
      </c>
      <c r="H176">
        <v>63</v>
      </c>
      <c r="I176">
        <v>85</v>
      </c>
      <c r="J176">
        <v>1488</v>
      </c>
      <c r="K176">
        <v>4594270</v>
      </c>
      <c r="L176" t="s">
        <v>439</v>
      </c>
      <c r="M176" t="str">
        <f>"RT2003"</f>
        <v>RT2003</v>
      </c>
      <c r="N176" t="str">
        <f>"RT 2003"</f>
        <v>RT 2003</v>
      </c>
      <c r="O176" t="str">
        <f>"2003"</f>
        <v>2003</v>
      </c>
      <c r="P176" t="s">
        <v>267</v>
      </c>
      <c r="Q176" t="str">
        <f>"5901436312666"</f>
        <v>5901436312666</v>
      </c>
      <c r="R176" s="1" t="s">
        <v>440</v>
      </c>
      <c r="S176" t="s">
        <v>316</v>
      </c>
      <c r="T176" s="1" t="s">
        <v>441</v>
      </c>
      <c r="U176">
        <v>82</v>
      </c>
      <c r="V176" t="s">
        <v>267</v>
      </c>
      <c r="W176" t="s">
        <v>267</v>
      </c>
      <c r="X176" t="s">
        <v>224</v>
      </c>
    </row>
    <row r="177" spans="1:25">
      <c r="A177">
        <v>13527</v>
      </c>
      <c r="B177" t="s">
        <v>25</v>
      </c>
      <c r="C177" t="str">
        <f t="shared" si="4"/>
        <v>INTEGRA Saloon</v>
      </c>
      <c r="D177" t="str">
        <f t="shared" si="5"/>
        <v>1.5</v>
      </c>
      <c r="E177" t="s">
        <v>26</v>
      </c>
      <c r="F177">
        <v>198501</v>
      </c>
      <c r="G177">
        <v>199012</v>
      </c>
      <c r="H177">
        <v>63</v>
      </c>
      <c r="I177">
        <v>85</v>
      </c>
      <c r="J177">
        <v>1488</v>
      </c>
      <c r="K177">
        <v>4594271</v>
      </c>
      <c r="L177" t="s">
        <v>439</v>
      </c>
      <c r="M177" t="str">
        <f>"RT2003T5"</f>
        <v>RT2003T5</v>
      </c>
      <c r="N177" t="str">
        <f>"RT 2003 T5"</f>
        <v>RT 2003 T5</v>
      </c>
      <c r="O177" t="str">
        <f>"2003/T5"</f>
        <v>2003/T5</v>
      </c>
      <c r="P177" t="s">
        <v>267</v>
      </c>
      <c r="Q177" t="str">
        <f>"5901436320845"</f>
        <v>5901436320845</v>
      </c>
      <c r="R177" s="1" t="s">
        <v>442</v>
      </c>
      <c r="S177" t="s">
        <v>316</v>
      </c>
      <c r="T177" s="1" t="s">
        <v>443</v>
      </c>
      <c r="U177">
        <v>82</v>
      </c>
      <c r="V177" t="s">
        <v>267</v>
      </c>
      <c r="W177" t="s">
        <v>267</v>
      </c>
      <c r="X177" t="s">
        <v>224</v>
      </c>
    </row>
    <row r="178" spans="1:25">
      <c r="A178">
        <v>13527</v>
      </c>
      <c r="B178" t="s">
        <v>25</v>
      </c>
      <c r="C178" t="str">
        <f t="shared" si="4"/>
        <v>INTEGRA Saloon</v>
      </c>
      <c r="D178" t="str">
        <f t="shared" si="5"/>
        <v>1.5</v>
      </c>
      <c r="E178" t="s">
        <v>26</v>
      </c>
      <c r="F178">
        <v>198501</v>
      </c>
      <c r="G178">
        <v>199012</v>
      </c>
      <c r="H178">
        <v>63</v>
      </c>
      <c r="I178">
        <v>85</v>
      </c>
      <c r="J178">
        <v>1488</v>
      </c>
      <c r="K178">
        <v>4979758</v>
      </c>
      <c r="L178" t="s">
        <v>302</v>
      </c>
      <c r="M178" t="str">
        <f>"8510086060"</f>
        <v>8510086060</v>
      </c>
      <c r="N178" t="str">
        <f>"851008.6060"</f>
        <v>851008.6060</v>
      </c>
      <c r="O178" t="str">
        <f>""</f>
        <v/>
      </c>
      <c r="P178" t="s">
        <v>267</v>
      </c>
      <c r="Q178" t="str">
        <f>""</f>
        <v/>
      </c>
      <c r="R178" s="1" t="s">
        <v>303</v>
      </c>
      <c r="S178" t="s">
        <v>304</v>
      </c>
      <c r="T178" t="s">
        <v>305</v>
      </c>
      <c r="U178">
        <v>82</v>
      </c>
      <c r="V178" t="s">
        <v>267</v>
      </c>
      <c r="W178" t="s">
        <v>267</v>
      </c>
      <c r="X178" t="s">
        <v>224</v>
      </c>
    </row>
    <row r="179" spans="1:25">
      <c r="A179">
        <v>13527</v>
      </c>
      <c r="B179" t="s">
        <v>25</v>
      </c>
      <c r="C179" t="str">
        <f t="shared" si="4"/>
        <v>INTEGRA Saloon</v>
      </c>
      <c r="D179" t="str">
        <f t="shared" si="5"/>
        <v>1.5</v>
      </c>
      <c r="E179" t="s">
        <v>26</v>
      </c>
      <c r="F179">
        <v>198501</v>
      </c>
      <c r="G179">
        <v>199012</v>
      </c>
      <c r="H179">
        <v>63</v>
      </c>
      <c r="I179">
        <v>85</v>
      </c>
      <c r="J179">
        <v>1488</v>
      </c>
      <c r="K179">
        <v>4979759</v>
      </c>
      <c r="L179" t="s">
        <v>302</v>
      </c>
      <c r="M179" t="str">
        <f>"8510086880"</f>
        <v>8510086880</v>
      </c>
      <c r="N179" t="str">
        <f>"851008.6880"</f>
        <v>851008.6880</v>
      </c>
      <c r="O179" t="str">
        <f>""</f>
        <v/>
      </c>
      <c r="P179" t="s">
        <v>267</v>
      </c>
      <c r="Q179" t="str">
        <f>""</f>
        <v/>
      </c>
      <c r="R179" s="1" t="s">
        <v>303</v>
      </c>
      <c r="S179" t="s">
        <v>304</v>
      </c>
      <c r="T179" t="s">
        <v>444</v>
      </c>
      <c r="U179">
        <v>82</v>
      </c>
      <c r="V179" t="s">
        <v>267</v>
      </c>
      <c r="W179" t="s">
        <v>267</v>
      </c>
      <c r="X179" t="s">
        <v>224</v>
      </c>
    </row>
    <row r="180" spans="1:25">
      <c r="A180">
        <v>13527</v>
      </c>
      <c r="B180" t="s">
        <v>25</v>
      </c>
      <c r="C180" t="str">
        <f t="shared" si="4"/>
        <v>INTEGRA Saloon</v>
      </c>
      <c r="D180" t="str">
        <f t="shared" si="5"/>
        <v>1.5</v>
      </c>
      <c r="E180" t="s">
        <v>26</v>
      </c>
      <c r="F180">
        <v>198501</v>
      </c>
      <c r="G180">
        <v>199012</v>
      </c>
      <c r="H180">
        <v>63</v>
      </c>
      <c r="I180">
        <v>85</v>
      </c>
      <c r="J180">
        <v>1488</v>
      </c>
      <c r="K180">
        <v>4979760</v>
      </c>
      <c r="L180" t="s">
        <v>302</v>
      </c>
      <c r="M180" t="str">
        <f>"8510086980"</f>
        <v>8510086980</v>
      </c>
      <c r="N180" t="str">
        <f>"851008.6980"</f>
        <v>851008.6980</v>
      </c>
      <c r="O180" t="str">
        <f>""</f>
        <v/>
      </c>
      <c r="P180" t="s">
        <v>267</v>
      </c>
      <c r="Q180" t="str">
        <f>""</f>
        <v/>
      </c>
      <c r="R180" s="1" t="s">
        <v>303</v>
      </c>
      <c r="S180" t="s">
        <v>304</v>
      </c>
      <c r="T180" t="s">
        <v>445</v>
      </c>
      <c r="U180">
        <v>82</v>
      </c>
      <c r="V180" t="s">
        <v>267</v>
      </c>
      <c r="W180" t="s">
        <v>267</v>
      </c>
      <c r="X180" t="s">
        <v>224</v>
      </c>
    </row>
    <row r="181" spans="1:25">
      <c r="A181">
        <v>13527</v>
      </c>
      <c r="B181" t="s">
        <v>25</v>
      </c>
      <c r="C181" t="str">
        <f t="shared" si="4"/>
        <v>INTEGRA Saloon</v>
      </c>
      <c r="D181" t="str">
        <f t="shared" si="5"/>
        <v>1.5</v>
      </c>
      <c r="E181" t="s">
        <v>26</v>
      </c>
      <c r="F181">
        <v>198501</v>
      </c>
      <c r="G181">
        <v>199012</v>
      </c>
      <c r="H181">
        <v>63</v>
      </c>
      <c r="I181">
        <v>85</v>
      </c>
      <c r="J181">
        <v>1488</v>
      </c>
      <c r="K181">
        <v>4979807</v>
      </c>
      <c r="L181" t="s">
        <v>302</v>
      </c>
      <c r="M181" t="str">
        <f>"8510546060"</f>
        <v>8510546060</v>
      </c>
      <c r="N181" t="str">
        <f>"851054.6060"</f>
        <v>851054.6060</v>
      </c>
      <c r="O181" t="str">
        <f>""</f>
        <v/>
      </c>
      <c r="P181" t="s">
        <v>267</v>
      </c>
      <c r="Q181" t="str">
        <f>""</f>
        <v/>
      </c>
      <c r="R181" s="1" t="s">
        <v>306</v>
      </c>
      <c r="S181" t="s">
        <v>307</v>
      </c>
      <c r="T181" t="s">
        <v>446</v>
      </c>
      <c r="U181">
        <v>82</v>
      </c>
      <c r="V181" t="s">
        <v>267</v>
      </c>
      <c r="W181" t="s">
        <v>267</v>
      </c>
      <c r="X181" t="s">
        <v>224</v>
      </c>
    </row>
    <row r="182" spans="1:25">
      <c r="A182">
        <v>13527</v>
      </c>
      <c r="B182" t="s">
        <v>25</v>
      </c>
      <c r="C182" t="str">
        <f t="shared" si="4"/>
        <v>INTEGRA Saloon</v>
      </c>
      <c r="D182" t="str">
        <f t="shared" si="5"/>
        <v>1.5</v>
      </c>
      <c r="E182" t="s">
        <v>26</v>
      </c>
      <c r="F182">
        <v>198501</v>
      </c>
      <c r="G182">
        <v>199012</v>
      </c>
      <c r="H182">
        <v>63</v>
      </c>
      <c r="I182">
        <v>85</v>
      </c>
      <c r="J182">
        <v>1488</v>
      </c>
      <c r="K182">
        <v>4979808</v>
      </c>
      <c r="L182" t="s">
        <v>302</v>
      </c>
      <c r="M182" t="str">
        <f>"8510546880"</f>
        <v>8510546880</v>
      </c>
      <c r="N182" t="str">
        <f>"851054.6880"</f>
        <v>851054.6880</v>
      </c>
      <c r="O182" t="str">
        <f>""</f>
        <v/>
      </c>
      <c r="P182" t="s">
        <v>267</v>
      </c>
      <c r="Q182" t="str">
        <f>""</f>
        <v/>
      </c>
      <c r="R182" s="1" t="s">
        <v>306</v>
      </c>
      <c r="S182" t="s">
        <v>307</v>
      </c>
      <c r="T182" t="s">
        <v>447</v>
      </c>
      <c r="U182">
        <v>82</v>
      </c>
      <c r="V182" t="s">
        <v>267</v>
      </c>
      <c r="W182" t="s">
        <v>267</v>
      </c>
      <c r="X182" t="s">
        <v>224</v>
      </c>
    </row>
    <row r="183" spans="1:25">
      <c r="A183">
        <v>13527</v>
      </c>
      <c r="B183" t="s">
        <v>25</v>
      </c>
      <c r="C183" t="str">
        <f t="shared" si="4"/>
        <v>INTEGRA Saloon</v>
      </c>
      <c r="D183" t="str">
        <f t="shared" si="5"/>
        <v>1.5</v>
      </c>
      <c r="E183" t="s">
        <v>26</v>
      </c>
      <c r="F183">
        <v>198501</v>
      </c>
      <c r="G183">
        <v>199012</v>
      </c>
      <c r="H183">
        <v>63</v>
      </c>
      <c r="I183">
        <v>85</v>
      </c>
      <c r="J183">
        <v>1488</v>
      </c>
      <c r="K183">
        <v>4979809</v>
      </c>
      <c r="L183" t="s">
        <v>302</v>
      </c>
      <c r="M183" t="str">
        <f>"8510546980"</f>
        <v>8510546980</v>
      </c>
      <c r="N183" t="str">
        <f>"851054.6980"</f>
        <v>851054.6980</v>
      </c>
      <c r="O183" t="str">
        <f>""</f>
        <v/>
      </c>
      <c r="P183" t="s">
        <v>267</v>
      </c>
      <c r="Q183" t="str">
        <f>""</f>
        <v/>
      </c>
      <c r="R183" s="1" t="s">
        <v>306</v>
      </c>
      <c r="S183" t="s">
        <v>307</v>
      </c>
      <c r="T183" t="s">
        <v>448</v>
      </c>
      <c r="U183">
        <v>82</v>
      </c>
      <c r="V183" t="s">
        <v>267</v>
      </c>
      <c r="W183" t="s">
        <v>267</v>
      </c>
      <c r="X183" t="s">
        <v>224</v>
      </c>
    </row>
    <row r="184" spans="1:25">
      <c r="A184">
        <v>13527</v>
      </c>
      <c r="B184" t="s">
        <v>25</v>
      </c>
      <c r="C184" t="str">
        <f t="shared" si="4"/>
        <v>INTEGRA Saloon</v>
      </c>
      <c r="D184" t="str">
        <f t="shared" si="5"/>
        <v>1.5</v>
      </c>
      <c r="E184" t="s">
        <v>26</v>
      </c>
      <c r="F184">
        <v>198501</v>
      </c>
      <c r="G184">
        <v>199012</v>
      </c>
      <c r="H184">
        <v>63</v>
      </c>
      <c r="I184">
        <v>85</v>
      </c>
      <c r="J184">
        <v>1488</v>
      </c>
      <c r="K184">
        <v>4900099</v>
      </c>
      <c r="L184" t="s">
        <v>449</v>
      </c>
      <c r="M184" t="str">
        <f>"11847"</f>
        <v>11847</v>
      </c>
      <c r="N184" t="str">
        <f>"11847"</f>
        <v>11847</v>
      </c>
      <c r="O184" t="str">
        <f>""</f>
        <v/>
      </c>
      <c r="P184" t="s">
        <v>450</v>
      </c>
      <c r="Q184" t="str">
        <f>"8435392001083"</f>
        <v>8435392001083</v>
      </c>
      <c r="R184" t="s">
        <v>451</v>
      </c>
      <c r="T184" s="1" t="s">
        <v>452</v>
      </c>
      <c r="U184">
        <v>191</v>
      </c>
      <c r="V184" t="s">
        <v>450</v>
      </c>
      <c r="W184" t="s">
        <v>453</v>
      </c>
      <c r="X184" t="s">
        <v>211</v>
      </c>
    </row>
    <row r="185" spans="1:25">
      <c r="A185">
        <v>13527</v>
      </c>
      <c r="B185" t="s">
        <v>25</v>
      </c>
      <c r="C185" t="str">
        <f t="shared" si="4"/>
        <v>INTEGRA Saloon</v>
      </c>
      <c r="D185" t="str">
        <f t="shared" si="5"/>
        <v>1.5</v>
      </c>
      <c r="E185" t="s">
        <v>26</v>
      </c>
      <c r="F185">
        <v>198501</v>
      </c>
      <c r="G185">
        <v>199012</v>
      </c>
      <c r="H185">
        <v>63</v>
      </c>
      <c r="I185">
        <v>85</v>
      </c>
      <c r="J185">
        <v>1488</v>
      </c>
      <c r="K185">
        <v>4906484</v>
      </c>
      <c r="L185" t="s">
        <v>449</v>
      </c>
      <c r="M185" t="str">
        <f>"K11847"</f>
        <v>K11847</v>
      </c>
      <c r="N185" t="str">
        <f>"K11847"</f>
        <v>K11847</v>
      </c>
      <c r="O185" t="str">
        <f>""</f>
        <v/>
      </c>
      <c r="P185" t="s">
        <v>450</v>
      </c>
      <c r="Q185" t="str">
        <f>"8435392014229"</f>
        <v>8435392014229</v>
      </c>
      <c r="R185" t="s">
        <v>451</v>
      </c>
      <c r="S185" t="s">
        <v>454</v>
      </c>
      <c r="T185" s="1" t="s">
        <v>452</v>
      </c>
      <c r="U185">
        <v>191</v>
      </c>
      <c r="V185" t="s">
        <v>450</v>
      </c>
      <c r="W185" t="s">
        <v>453</v>
      </c>
      <c r="X185" t="s">
        <v>211</v>
      </c>
    </row>
    <row r="186" spans="1:25">
      <c r="A186">
        <v>13527</v>
      </c>
      <c r="B186" t="s">
        <v>25</v>
      </c>
      <c r="C186" t="str">
        <f t="shared" si="4"/>
        <v>INTEGRA Saloon</v>
      </c>
      <c r="D186" t="str">
        <f t="shared" si="5"/>
        <v>1.5</v>
      </c>
      <c r="E186" t="s">
        <v>26</v>
      </c>
      <c r="F186">
        <v>198501</v>
      </c>
      <c r="G186">
        <v>199012</v>
      </c>
      <c r="H186">
        <v>63</v>
      </c>
      <c r="I186">
        <v>85</v>
      </c>
      <c r="J186">
        <v>1488</v>
      </c>
      <c r="K186">
        <v>4898277</v>
      </c>
      <c r="L186" t="s">
        <v>449</v>
      </c>
      <c r="M186" t="str">
        <f>"0912"</f>
        <v>0912</v>
      </c>
      <c r="N186" t="str">
        <f>"0912"</f>
        <v>0912</v>
      </c>
      <c r="O186" t="str">
        <f>""</f>
        <v/>
      </c>
      <c r="P186" t="s">
        <v>455</v>
      </c>
      <c r="Q186" t="str">
        <f>"8435329504960"</f>
        <v>8435329504960</v>
      </c>
      <c r="R186" t="s">
        <v>456</v>
      </c>
      <c r="T186" t="s">
        <v>457</v>
      </c>
      <c r="U186">
        <v>193</v>
      </c>
      <c r="V186" t="s">
        <v>455</v>
      </c>
      <c r="W186" t="s">
        <v>453</v>
      </c>
      <c r="X186" t="s">
        <v>49</v>
      </c>
      <c r="Y186" t="s">
        <v>50</v>
      </c>
    </row>
    <row r="187" spans="1:25">
      <c r="A187">
        <v>13527</v>
      </c>
      <c r="B187" t="s">
        <v>25</v>
      </c>
      <c r="C187" t="str">
        <f t="shared" si="4"/>
        <v>INTEGRA Saloon</v>
      </c>
      <c r="D187" t="str">
        <f t="shared" si="5"/>
        <v>1.5</v>
      </c>
      <c r="E187" t="s">
        <v>26</v>
      </c>
      <c r="F187">
        <v>198501</v>
      </c>
      <c r="G187">
        <v>199012</v>
      </c>
      <c r="H187">
        <v>63</v>
      </c>
      <c r="I187">
        <v>85</v>
      </c>
      <c r="J187">
        <v>1488</v>
      </c>
      <c r="K187">
        <v>4906835</v>
      </c>
      <c r="L187" t="s">
        <v>449</v>
      </c>
      <c r="M187" t="str">
        <f>"K912"</f>
        <v>K912</v>
      </c>
      <c r="N187" t="str">
        <f>"K912"</f>
        <v>K912</v>
      </c>
      <c r="O187" t="str">
        <f>""</f>
        <v/>
      </c>
      <c r="P187" t="s">
        <v>455</v>
      </c>
      <c r="Q187" t="str">
        <f>"8435329556877"</f>
        <v>8435329556877</v>
      </c>
      <c r="R187" t="s">
        <v>456</v>
      </c>
      <c r="S187" t="s">
        <v>454</v>
      </c>
      <c r="T187" t="s">
        <v>457</v>
      </c>
      <c r="U187">
        <v>193</v>
      </c>
      <c r="V187" t="s">
        <v>455</v>
      </c>
      <c r="W187" t="s">
        <v>453</v>
      </c>
      <c r="X187" t="s">
        <v>49</v>
      </c>
      <c r="Y187" t="s">
        <v>50</v>
      </c>
    </row>
    <row r="188" spans="1:25">
      <c r="A188">
        <v>13527</v>
      </c>
      <c r="B188" t="s">
        <v>25</v>
      </c>
      <c r="C188" t="str">
        <f t="shared" si="4"/>
        <v>INTEGRA Saloon</v>
      </c>
      <c r="D188" t="str">
        <f t="shared" si="5"/>
        <v>1.5</v>
      </c>
      <c r="E188" t="s">
        <v>26</v>
      </c>
      <c r="F188">
        <v>198501</v>
      </c>
      <c r="G188">
        <v>199012</v>
      </c>
      <c r="H188">
        <v>63</v>
      </c>
      <c r="I188">
        <v>85</v>
      </c>
      <c r="J188">
        <v>1488</v>
      </c>
      <c r="K188">
        <v>458543</v>
      </c>
      <c r="L188" t="s">
        <v>33</v>
      </c>
      <c r="M188" t="str">
        <f>"J2863004"</f>
        <v>J2863004</v>
      </c>
      <c r="N188" t="str">
        <f>"J2863004"</f>
        <v>J2863004</v>
      </c>
      <c r="O188" t="str">
        <f>""</f>
        <v/>
      </c>
      <c r="P188" t="s">
        <v>458</v>
      </c>
      <c r="Q188" t="str">
        <f>"8711768047924"</f>
        <v>8711768047924</v>
      </c>
      <c r="R188" t="s">
        <v>459</v>
      </c>
      <c r="S188" t="s">
        <v>460</v>
      </c>
      <c r="T188" s="1" t="s">
        <v>461</v>
      </c>
      <c r="U188">
        <v>194</v>
      </c>
      <c r="V188" t="s">
        <v>458</v>
      </c>
      <c r="W188" t="s">
        <v>462</v>
      </c>
      <c r="X188" t="s">
        <v>49</v>
      </c>
      <c r="Y188" t="s">
        <v>50</v>
      </c>
    </row>
    <row r="189" spans="1:25">
      <c r="A189">
        <v>13527</v>
      </c>
      <c r="B189" t="s">
        <v>25</v>
      </c>
      <c r="C189" t="str">
        <f t="shared" si="4"/>
        <v>INTEGRA Saloon</v>
      </c>
      <c r="D189" t="str">
        <f t="shared" si="5"/>
        <v>1.5</v>
      </c>
      <c r="E189" t="s">
        <v>26</v>
      </c>
      <c r="F189">
        <v>198501</v>
      </c>
      <c r="G189">
        <v>199012</v>
      </c>
      <c r="H189">
        <v>63</v>
      </c>
      <c r="I189">
        <v>85</v>
      </c>
      <c r="J189">
        <v>1488</v>
      </c>
      <c r="K189">
        <v>459181</v>
      </c>
      <c r="L189" t="s">
        <v>33</v>
      </c>
      <c r="M189" t="str">
        <f>"J2884012"</f>
        <v>J2884012</v>
      </c>
      <c r="N189" t="str">
        <f>"J2884012"</f>
        <v>J2884012</v>
      </c>
      <c r="O189" t="str">
        <f>""</f>
        <v/>
      </c>
      <c r="P189" t="s">
        <v>458</v>
      </c>
      <c r="Q189" t="str">
        <f>"8711768048396"</f>
        <v>8711768048396</v>
      </c>
      <c r="R189" t="s">
        <v>463</v>
      </c>
      <c r="S189" t="s">
        <v>464</v>
      </c>
      <c r="T189" t="s">
        <v>465</v>
      </c>
      <c r="U189">
        <v>194</v>
      </c>
      <c r="V189" t="s">
        <v>458</v>
      </c>
      <c r="W189" t="s">
        <v>462</v>
      </c>
      <c r="X189" t="s">
        <v>49</v>
      </c>
      <c r="Y189" t="s">
        <v>50</v>
      </c>
    </row>
    <row r="190" spans="1:25">
      <c r="A190">
        <v>13527</v>
      </c>
      <c r="B190" t="s">
        <v>25</v>
      </c>
      <c r="C190" t="str">
        <f t="shared" si="4"/>
        <v>INTEGRA Saloon</v>
      </c>
      <c r="D190" t="str">
        <f t="shared" si="5"/>
        <v>1.5</v>
      </c>
      <c r="E190" t="s">
        <v>26</v>
      </c>
      <c r="F190">
        <v>198501</v>
      </c>
      <c r="G190">
        <v>199012</v>
      </c>
      <c r="H190">
        <v>63</v>
      </c>
      <c r="I190">
        <v>85</v>
      </c>
      <c r="J190">
        <v>1488</v>
      </c>
      <c r="K190">
        <v>3953758</v>
      </c>
      <c r="L190" t="s">
        <v>27</v>
      </c>
      <c r="M190" t="str">
        <f>"08582004"</f>
        <v>08582004</v>
      </c>
      <c r="N190" t="str">
        <f>"0858-2004"</f>
        <v>0858-2004</v>
      </c>
      <c r="O190" t="str">
        <f>""</f>
        <v/>
      </c>
      <c r="P190" t="s">
        <v>458</v>
      </c>
      <c r="Q190" t="str">
        <f>"8718993025789"</f>
        <v>8718993025789</v>
      </c>
      <c r="R190" t="s">
        <v>466</v>
      </c>
      <c r="S190" t="s">
        <v>424</v>
      </c>
      <c r="T190" s="1" t="s">
        <v>467</v>
      </c>
      <c r="U190">
        <v>194</v>
      </c>
      <c r="V190" t="s">
        <v>458</v>
      </c>
      <c r="W190" t="s">
        <v>462</v>
      </c>
      <c r="X190" t="s">
        <v>49</v>
      </c>
      <c r="Y190" t="s">
        <v>50</v>
      </c>
    </row>
    <row r="191" spans="1:25">
      <c r="A191">
        <v>13527</v>
      </c>
      <c r="B191" t="s">
        <v>25</v>
      </c>
      <c r="C191" t="str">
        <f t="shared" si="4"/>
        <v>INTEGRA Saloon</v>
      </c>
      <c r="D191" t="str">
        <f t="shared" si="5"/>
        <v>1.5</v>
      </c>
      <c r="E191" t="s">
        <v>26</v>
      </c>
      <c r="F191">
        <v>198501</v>
      </c>
      <c r="G191">
        <v>199012</v>
      </c>
      <c r="H191">
        <v>63</v>
      </c>
      <c r="I191">
        <v>85</v>
      </c>
      <c r="J191">
        <v>1488</v>
      </c>
      <c r="K191">
        <v>3968736</v>
      </c>
      <c r="L191" t="s">
        <v>27</v>
      </c>
      <c r="M191" t="str">
        <f>"M16805"</f>
        <v>M16805</v>
      </c>
      <c r="N191" t="str">
        <f>"M168-05"</f>
        <v>M168-05</v>
      </c>
      <c r="O191" t="str">
        <f>""</f>
        <v/>
      </c>
      <c r="P191" t="s">
        <v>458</v>
      </c>
      <c r="Q191" t="str">
        <f>"8718993277232"</f>
        <v>8718993277232</v>
      </c>
      <c r="R191" t="s">
        <v>468</v>
      </c>
      <c r="T191" s="1" t="s">
        <v>469</v>
      </c>
      <c r="U191">
        <v>194</v>
      </c>
      <c r="V191" t="s">
        <v>458</v>
      </c>
      <c r="W191" t="s">
        <v>462</v>
      </c>
      <c r="X191" t="s">
        <v>49</v>
      </c>
      <c r="Y191" t="s">
        <v>50</v>
      </c>
    </row>
    <row r="192" spans="1:25">
      <c r="A192">
        <v>13527</v>
      </c>
      <c r="B192" t="s">
        <v>25</v>
      </c>
      <c r="C192" t="str">
        <f t="shared" si="4"/>
        <v>INTEGRA Saloon</v>
      </c>
      <c r="D192" t="str">
        <f t="shared" si="5"/>
        <v>1.5</v>
      </c>
      <c r="E192" t="s">
        <v>26</v>
      </c>
      <c r="F192">
        <v>198501</v>
      </c>
      <c r="G192">
        <v>199012</v>
      </c>
      <c r="H192">
        <v>63</v>
      </c>
      <c r="I192">
        <v>85</v>
      </c>
      <c r="J192">
        <v>1488</v>
      </c>
      <c r="K192">
        <v>4531095</v>
      </c>
      <c r="L192" t="s">
        <v>59</v>
      </c>
      <c r="M192" t="str">
        <f>"21990024"</f>
        <v>21990024</v>
      </c>
      <c r="N192" t="str">
        <f>"21-990024"</f>
        <v>21-990024</v>
      </c>
      <c r="O192" t="str">
        <f>""</f>
        <v/>
      </c>
      <c r="P192" t="s">
        <v>458</v>
      </c>
      <c r="Q192" t="str">
        <f>""</f>
        <v/>
      </c>
      <c r="R192" t="s">
        <v>470</v>
      </c>
      <c r="S192" t="s">
        <v>61</v>
      </c>
      <c r="T192" t="s">
        <v>471</v>
      </c>
      <c r="U192">
        <v>194</v>
      </c>
      <c r="V192" t="s">
        <v>458</v>
      </c>
      <c r="W192" t="s">
        <v>462</v>
      </c>
      <c r="X192" t="s">
        <v>49</v>
      </c>
      <c r="Y192" t="s">
        <v>50</v>
      </c>
    </row>
    <row r="193" spans="1:25">
      <c r="A193">
        <v>13527</v>
      </c>
      <c r="B193" t="s">
        <v>25</v>
      </c>
      <c r="C193" t="str">
        <f t="shared" si="4"/>
        <v>INTEGRA Saloon</v>
      </c>
      <c r="D193" t="str">
        <f t="shared" si="5"/>
        <v>1.5</v>
      </c>
      <c r="E193" t="s">
        <v>26</v>
      </c>
      <c r="F193">
        <v>198501</v>
      </c>
      <c r="G193">
        <v>199012</v>
      </c>
      <c r="H193">
        <v>63</v>
      </c>
      <c r="I193">
        <v>85</v>
      </c>
      <c r="J193">
        <v>1488</v>
      </c>
      <c r="K193">
        <v>4641729</v>
      </c>
      <c r="L193" t="s">
        <v>472</v>
      </c>
      <c r="M193" t="str">
        <f>"G54003PC"</f>
        <v>G54003PC</v>
      </c>
      <c r="N193" t="str">
        <f>"G54003PC"</f>
        <v>G54003PC</v>
      </c>
      <c r="O193" t="str">
        <f>""</f>
        <v/>
      </c>
      <c r="P193" t="s">
        <v>458</v>
      </c>
      <c r="Q193" t="str">
        <f>""</f>
        <v/>
      </c>
      <c r="R193" t="s">
        <v>473</v>
      </c>
      <c r="S193" t="s">
        <v>474</v>
      </c>
      <c r="T193" s="1" t="s">
        <v>475</v>
      </c>
      <c r="U193">
        <v>194</v>
      </c>
      <c r="V193" t="s">
        <v>458</v>
      </c>
      <c r="W193" t="s">
        <v>462</v>
      </c>
      <c r="X193" t="s">
        <v>49</v>
      </c>
      <c r="Y193" t="s">
        <v>50</v>
      </c>
    </row>
    <row r="194" spans="1:25">
      <c r="A194">
        <v>13527</v>
      </c>
      <c r="B194" t="s">
        <v>25</v>
      </c>
      <c r="C194" t="str">
        <f t="shared" ref="C194:C257" si="6">"INTEGRA Saloon"</f>
        <v>INTEGRA Saloon</v>
      </c>
      <c r="D194" t="str">
        <f t="shared" ref="D194:D257" si="7">"1.5"</f>
        <v>1.5</v>
      </c>
      <c r="E194" t="s">
        <v>26</v>
      </c>
      <c r="F194">
        <v>198501</v>
      </c>
      <c r="G194">
        <v>199012</v>
      </c>
      <c r="H194">
        <v>63</v>
      </c>
      <c r="I194">
        <v>85</v>
      </c>
      <c r="J194">
        <v>1488</v>
      </c>
      <c r="K194">
        <v>3028703</v>
      </c>
      <c r="L194" t="s">
        <v>33</v>
      </c>
      <c r="M194" t="str">
        <f>"J2844001"</f>
        <v>J2844001</v>
      </c>
      <c r="N194" t="str">
        <f>"J2844001"</f>
        <v>J2844001</v>
      </c>
      <c r="O194" t="str">
        <f>""</f>
        <v/>
      </c>
      <c r="P194" t="s">
        <v>476</v>
      </c>
      <c r="Q194" t="str">
        <f>"8711768116781"</f>
        <v>8711768116781</v>
      </c>
      <c r="R194" t="s">
        <v>451</v>
      </c>
      <c r="S194" t="s">
        <v>477</v>
      </c>
      <c r="T194" s="1" t="s">
        <v>478</v>
      </c>
      <c r="U194">
        <v>195</v>
      </c>
      <c r="V194" t="s">
        <v>476</v>
      </c>
      <c r="W194" t="s">
        <v>462</v>
      </c>
      <c r="X194" t="s">
        <v>211</v>
      </c>
    </row>
    <row r="195" spans="1:25">
      <c r="A195">
        <v>13527</v>
      </c>
      <c r="B195" t="s">
        <v>25</v>
      </c>
      <c r="C195" t="str">
        <f t="shared" si="6"/>
        <v>INTEGRA Saloon</v>
      </c>
      <c r="D195" t="str">
        <f t="shared" si="7"/>
        <v>1.5</v>
      </c>
      <c r="E195" t="s">
        <v>26</v>
      </c>
      <c r="F195">
        <v>198501</v>
      </c>
      <c r="G195">
        <v>199012</v>
      </c>
      <c r="H195">
        <v>63</v>
      </c>
      <c r="I195">
        <v>85</v>
      </c>
      <c r="J195">
        <v>1488</v>
      </c>
      <c r="K195">
        <v>4642241</v>
      </c>
      <c r="L195" t="s">
        <v>472</v>
      </c>
      <c r="M195" t="str">
        <f>"I64001PC"</f>
        <v>I64001PC</v>
      </c>
      <c r="N195" t="str">
        <f>"I64001PC"</f>
        <v>I64001PC</v>
      </c>
      <c r="O195" t="str">
        <f>""</f>
        <v/>
      </c>
      <c r="P195" t="s">
        <v>476</v>
      </c>
      <c r="Q195" t="str">
        <f>""</f>
        <v/>
      </c>
      <c r="R195" t="s">
        <v>479</v>
      </c>
      <c r="S195" t="s">
        <v>477</v>
      </c>
      <c r="T195" s="1" t="s">
        <v>480</v>
      </c>
      <c r="U195">
        <v>195</v>
      </c>
      <c r="V195" t="s">
        <v>476</v>
      </c>
      <c r="W195" t="s">
        <v>462</v>
      </c>
      <c r="X195" t="s">
        <v>211</v>
      </c>
    </row>
    <row r="196" spans="1:25">
      <c r="A196">
        <v>13527</v>
      </c>
      <c r="B196" t="s">
        <v>25</v>
      </c>
      <c r="C196" t="str">
        <f t="shared" si="6"/>
        <v>INTEGRA Saloon</v>
      </c>
      <c r="D196" t="str">
        <f t="shared" si="7"/>
        <v>1.5</v>
      </c>
      <c r="E196" t="s">
        <v>26</v>
      </c>
      <c r="F196">
        <v>198501</v>
      </c>
      <c r="G196">
        <v>199012</v>
      </c>
      <c r="H196">
        <v>63</v>
      </c>
      <c r="I196">
        <v>85</v>
      </c>
      <c r="J196">
        <v>1488</v>
      </c>
      <c r="K196">
        <v>4356676</v>
      </c>
      <c r="L196" t="s">
        <v>481</v>
      </c>
      <c r="M196" t="str">
        <f>"2000853"</f>
        <v>2000853</v>
      </c>
      <c r="N196" t="str">
        <f>"2000853"</f>
        <v>2000853</v>
      </c>
      <c r="O196" t="str">
        <f>""</f>
        <v/>
      </c>
      <c r="P196" t="s">
        <v>482</v>
      </c>
      <c r="Q196" t="str">
        <f>"8435281031511"</f>
        <v>8435281031511</v>
      </c>
      <c r="R196" t="s">
        <v>483</v>
      </c>
      <c r="T196" t="s">
        <v>484</v>
      </c>
      <c r="U196">
        <v>219</v>
      </c>
      <c r="V196" t="s">
        <v>482</v>
      </c>
      <c r="W196" t="s">
        <v>485</v>
      </c>
      <c r="X196" t="s">
        <v>486</v>
      </c>
      <c r="Y196" t="s">
        <v>487</v>
      </c>
    </row>
    <row r="197" spans="1:25">
      <c r="A197">
        <v>13527</v>
      </c>
      <c r="B197" t="s">
        <v>25</v>
      </c>
      <c r="C197" t="str">
        <f t="shared" si="6"/>
        <v>INTEGRA Saloon</v>
      </c>
      <c r="D197" t="str">
        <f t="shared" si="7"/>
        <v>1.5</v>
      </c>
      <c r="E197" t="s">
        <v>26</v>
      </c>
      <c r="F197">
        <v>198501</v>
      </c>
      <c r="G197">
        <v>199012</v>
      </c>
      <c r="H197">
        <v>63</v>
      </c>
      <c r="I197">
        <v>85</v>
      </c>
      <c r="J197">
        <v>1488</v>
      </c>
      <c r="K197">
        <v>700319</v>
      </c>
      <c r="L197" t="s">
        <v>46</v>
      </c>
      <c r="M197" t="str">
        <f>"AC1001"</f>
        <v>AC1001</v>
      </c>
      <c r="N197" t="str">
        <f>"AC1001"</f>
        <v>AC1001</v>
      </c>
      <c r="O197" t="str">
        <f>""</f>
        <v/>
      </c>
      <c r="P197" t="s">
        <v>488</v>
      </c>
      <c r="Q197" t="str">
        <f>""</f>
        <v/>
      </c>
      <c r="U197">
        <v>236</v>
      </c>
      <c r="V197" t="s">
        <v>488</v>
      </c>
      <c r="W197" t="s">
        <v>210</v>
      </c>
      <c r="X197" t="s">
        <v>49</v>
      </c>
      <c r="Y197" t="s">
        <v>50</v>
      </c>
    </row>
    <row r="198" spans="1:25">
      <c r="A198">
        <v>13527</v>
      </c>
      <c r="B198" t="s">
        <v>25</v>
      </c>
      <c r="C198" t="str">
        <f t="shared" si="6"/>
        <v>INTEGRA Saloon</v>
      </c>
      <c r="D198" t="str">
        <f t="shared" si="7"/>
        <v>1.5</v>
      </c>
      <c r="E198" t="s">
        <v>26</v>
      </c>
      <c r="F198">
        <v>198501</v>
      </c>
      <c r="G198">
        <v>199012</v>
      </c>
      <c r="H198">
        <v>63</v>
      </c>
      <c r="I198">
        <v>85</v>
      </c>
      <c r="J198">
        <v>1488</v>
      </c>
      <c r="K198">
        <v>700321</v>
      </c>
      <c r="L198" t="s">
        <v>46</v>
      </c>
      <c r="M198" t="str">
        <f>"AC1002"</f>
        <v>AC1002</v>
      </c>
      <c r="N198" t="str">
        <f>"AC1002"</f>
        <v>AC1002</v>
      </c>
      <c r="O198" t="str">
        <f>""</f>
        <v/>
      </c>
      <c r="P198" t="s">
        <v>488</v>
      </c>
      <c r="Q198" t="str">
        <f>""</f>
        <v/>
      </c>
      <c r="U198">
        <v>236</v>
      </c>
      <c r="V198" t="s">
        <v>488</v>
      </c>
      <c r="W198" t="s">
        <v>210</v>
      </c>
      <c r="X198" t="s">
        <v>49</v>
      </c>
      <c r="Y198" t="s">
        <v>50</v>
      </c>
    </row>
    <row r="199" spans="1:25">
      <c r="A199">
        <v>13527</v>
      </c>
      <c r="B199" t="s">
        <v>25</v>
      </c>
      <c r="C199" t="str">
        <f t="shared" si="6"/>
        <v>INTEGRA Saloon</v>
      </c>
      <c r="D199" t="str">
        <f t="shared" si="7"/>
        <v>1.5</v>
      </c>
      <c r="E199" t="s">
        <v>26</v>
      </c>
      <c r="F199">
        <v>198501</v>
      </c>
      <c r="G199">
        <v>199012</v>
      </c>
      <c r="H199">
        <v>63</v>
      </c>
      <c r="I199">
        <v>85</v>
      </c>
      <c r="J199">
        <v>1488</v>
      </c>
      <c r="K199">
        <v>2292899</v>
      </c>
      <c r="L199" t="s">
        <v>489</v>
      </c>
      <c r="M199" t="str">
        <f>"DRC43001"</f>
        <v>DRC43001</v>
      </c>
      <c r="N199" t="str">
        <f>"DRC43001"</f>
        <v>DRC43001</v>
      </c>
      <c r="O199" t="str">
        <f>""</f>
        <v/>
      </c>
      <c r="P199" t="s">
        <v>488</v>
      </c>
      <c r="Q199" t="str">
        <f>""</f>
        <v/>
      </c>
      <c r="U199">
        <v>236</v>
      </c>
      <c r="V199" t="s">
        <v>488</v>
      </c>
      <c r="W199" t="s">
        <v>210</v>
      </c>
      <c r="X199" t="s">
        <v>49</v>
      </c>
      <c r="Y199" t="s">
        <v>50</v>
      </c>
    </row>
    <row r="200" spans="1:25">
      <c r="A200">
        <v>13527</v>
      </c>
      <c r="B200" t="s">
        <v>25</v>
      </c>
      <c r="C200" t="str">
        <f t="shared" si="6"/>
        <v>INTEGRA Saloon</v>
      </c>
      <c r="D200" t="str">
        <f t="shared" si="7"/>
        <v>1.5</v>
      </c>
      <c r="E200" t="s">
        <v>26</v>
      </c>
      <c r="F200">
        <v>198501</v>
      </c>
      <c r="G200">
        <v>199012</v>
      </c>
      <c r="H200">
        <v>63</v>
      </c>
      <c r="I200">
        <v>85</v>
      </c>
      <c r="J200">
        <v>1488</v>
      </c>
      <c r="K200">
        <v>2292900</v>
      </c>
      <c r="L200" t="s">
        <v>489</v>
      </c>
      <c r="M200" t="str">
        <f>"DRC43001K"</f>
        <v>DRC43001K</v>
      </c>
      <c r="N200" t="str">
        <f>"DRC43001K"</f>
        <v>DRC43001K</v>
      </c>
      <c r="O200" t="str">
        <f>""</f>
        <v/>
      </c>
      <c r="P200" t="s">
        <v>488</v>
      </c>
      <c r="Q200" t="str">
        <f>""</f>
        <v/>
      </c>
      <c r="U200">
        <v>236</v>
      </c>
      <c r="V200" t="s">
        <v>488</v>
      </c>
      <c r="W200" t="s">
        <v>210</v>
      </c>
      <c r="X200" t="s">
        <v>49</v>
      </c>
      <c r="Y200" t="s">
        <v>50</v>
      </c>
    </row>
    <row r="201" spans="1:25">
      <c r="A201">
        <v>13527</v>
      </c>
      <c r="B201" t="s">
        <v>25</v>
      </c>
      <c r="C201" t="str">
        <f t="shared" si="6"/>
        <v>INTEGRA Saloon</v>
      </c>
      <c r="D201" t="str">
        <f t="shared" si="7"/>
        <v>1.5</v>
      </c>
      <c r="E201" t="s">
        <v>26</v>
      </c>
      <c r="F201">
        <v>198501</v>
      </c>
      <c r="G201">
        <v>199012</v>
      </c>
      <c r="H201">
        <v>63</v>
      </c>
      <c r="I201">
        <v>85</v>
      </c>
      <c r="J201">
        <v>1488</v>
      </c>
      <c r="K201">
        <v>2292901</v>
      </c>
      <c r="L201" t="s">
        <v>489</v>
      </c>
      <c r="M201" t="str">
        <f>"DRC43002"</f>
        <v>DRC43002</v>
      </c>
      <c r="N201" t="str">
        <f>"DRC43002"</f>
        <v>DRC43002</v>
      </c>
      <c r="O201" t="str">
        <f>""</f>
        <v/>
      </c>
      <c r="P201" t="s">
        <v>488</v>
      </c>
      <c r="Q201" t="str">
        <f>""</f>
        <v/>
      </c>
      <c r="U201">
        <v>236</v>
      </c>
      <c r="V201" t="s">
        <v>488</v>
      </c>
      <c r="W201" t="s">
        <v>210</v>
      </c>
      <c r="X201" t="s">
        <v>49</v>
      </c>
      <c r="Y201" t="s">
        <v>50</v>
      </c>
    </row>
    <row r="202" spans="1:25">
      <c r="A202">
        <v>13527</v>
      </c>
      <c r="B202" t="s">
        <v>25</v>
      </c>
      <c r="C202" t="str">
        <f t="shared" si="6"/>
        <v>INTEGRA Saloon</v>
      </c>
      <c r="D202" t="str">
        <f t="shared" si="7"/>
        <v>1.5</v>
      </c>
      <c r="E202" t="s">
        <v>26</v>
      </c>
      <c r="F202">
        <v>198501</v>
      </c>
      <c r="G202">
        <v>199012</v>
      </c>
      <c r="H202">
        <v>63</v>
      </c>
      <c r="I202">
        <v>85</v>
      </c>
      <c r="J202">
        <v>1488</v>
      </c>
      <c r="K202">
        <v>2292902</v>
      </c>
      <c r="L202" t="s">
        <v>489</v>
      </c>
      <c r="M202" t="str">
        <f>"DRC43002K"</f>
        <v>DRC43002K</v>
      </c>
      <c r="N202" t="str">
        <f>"DRC43002K"</f>
        <v>DRC43002K</v>
      </c>
      <c r="O202" t="str">
        <f>""</f>
        <v/>
      </c>
      <c r="P202" t="s">
        <v>488</v>
      </c>
      <c r="Q202" t="str">
        <f>""</f>
        <v/>
      </c>
      <c r="U202">
        <v>236</v>
      </c>
      <c r="V202" t="s">
        <v>488</v>
      </c>
      <c r="W202" t="s">
        <v>210</v>
      </c>
      <c r="X202" t="s">
        <v>49</v>
      </c>
      <c r="Y202" t="s">
        <v>50</v>
      </c>
    </row>
    <row r="203" spans="1:25">
      <c r="A203">
        <v>13527</v>
      </c>
      <c r="B203" t="s">
        <v>25</v>
      </c>
      <c r="C203" t="str">
        <f t="shared" si="6"/>
        <v>INTEGRA Saloon</v>
      </c>
      <c r="D203" t="str">
        <f t="shared" si="7"/>
        <v>1.5</v>
      </c>
      <c r="E203" t="s">
        <v>26</v>
      </c>
      <c r="F203">
        <v>198501</v>
      </c>
      <c r="G203">
        <v>199012</v>
      </c>
      <c r="H203">
        <v>63</v>
      </c>
      <c r="I203">
        <v>85</v>
      </c>
      <c r="J203">
        <v>1488</v>
      </c>
      <c r="K203">
        <v>4641301</v>
      </c>
      <c r="L203" t="s">
        <v>472</v>
      </c>
      <c r="M203" t="str">
        <f>"G14006PC"</f>
        <v>G14006PC</v>
      </c>
      <c r="N203" t="str">
        <f>"G14006PC"</f>
        <v>G14006PC</v>
      </c>
      <c r="O203" t="str">
        <f>""</f>
        <v/>
      </c>
      <c r="P203" t="s">
        <v>488</v>
      </c>
      <c r="Q203" t="str">
        <f>""</f>
        <v/>
      </c>
      <c r="R203" t="s">
        <v>490</v>
      </c>
      <c r="S203" t="s">
        <v>491</v>
      </c>
      <c r="T203" s="1" t="s">
        <v>492</v>
      </c>
      <c r="U203">
        <v>236</v>
      </c>
      <c r="V203" t="s">
        <v>488</v>
      </c>
      <c r="W203" t="s">
        <v>210</v>
      </c>
      <c r="X203" t="s">
        <v>49</v>
      </c>
      <c r="Y203" t="s">
        <v>50</v>
      </c>
    </row>
    <row r="204" spans="1:25">
      <c r="A204">
        <v>13527</v>
      </c>
      <c r="B204" t="s">
        <v>25</v>
      </c>
      <c r="C204" t="str">
        <f t="shared" si="6"/>
        <v>INTEGRA Saloon</v>
      </c>
      <c r="D204" t="str">
        <f t="shared" si="7"/>
        <v>1.5</v>
      </c>
      <c r="E204" t="s">
        <v>26</v>
      </c>
      <c r="F204">
        <v>198501</v>
      </c>
      <c r="G204">
        <v>199012</v>
      </c>
      <c r="H204">
        <v>63</v>
      </c>
      <c r="I204">
        <v>85</v>
      </c>
      <c r="J204">
        <v>1488</v>
      </c>
      <c r="K204">
        <v>3031448</v>
      </c>
      <c r="L204" t="s">
        <v>33</v>
      </c>
      <c r="M204" t="str">
        <f>"J4234024"</f>
        <v>J4234024</v>
      </c>
      <c r="N204" t="str">
        <f>"J4234024"</f>
        <v>J4234024</v>
      </c>
      <c r="O204" t="str">
        <f>""</f>
        <v/>
      </c>
      <c r="P204" t="s">
        <v>493</v>
      </c>
      <c r="Q204" t="str">
        <f>"8711768051426"</f>
        <v>8711768051426</v>
      </c>
      <c r="S204" t="s">
        <v>494</v>
      </c>
      <c r="T204" t="s">
        <v>495</v>
      </c>
      <c r="U204">
        <v>251</v>
      </c>
      <c r="V204" t="s">
        <v>493</v>
      </c>
      <c r="W204" t="s">
        <v>496</v>
      </c>
      <c r="X204" t="s">
        <v>497</v>
      </c>
      <c r="Y204" t="s">
        <v>498</v>
      </c>
    </row>
    <row r="205" spans="1:25">
      <c r="A205">
        <v>13527</v>
      </c>
      <c r="B205" t="s">
        <v>25</v>
      </c>
      <c r="C205" t="str">
        <f t="shared" si="6"/>
        <v>INTEGRA Saloon</v>
      </c>
      <c r="D205" t="str">
        <f t="shared" si="7"/>
        <v>1.5</v>
      </c>
      <c r="E205" t="s">
        <v>26</v>
      </c>
      <c r="F205">
        <v>198501</v>
      </c>
      <c r="G205">
        <v>199012</v>
      </c>
      <c r="H205">
        <v>63</v>
      </c>
      <c r="I205">
        <v>85</v>
      </c>
      <c r="J205">
        <v>1488</v>
      </c>
      <c r="K205">
        <v>3031449</v>
      </c>
      <c r="L205" t="s">
        <v>33</v>
      </c>
      <c r="M205" t="str">
        <f>"J4234025"</f>
        <v>J4234025</v>
      </c>
      <c r="N205" t="str">
        <f>"J4234025"</f>
        <v>J4234025</v>
      </c>
      <c r="O205" t="str">
        <f>""</f>
        <v/>
      </c>
      <c r="P205" t="s">
        <v>493</v>
      </c>
      <c r="Q205" t="str">
        <f>"8711768069995"</f>
        <v>8711768069995</v>
      </c>
      <c r="S205" t="s">
        <v>499</v>
      </c>
      <c r="T205" t="s">
        <v>500</v>
      </c>
      <c r="U205">
        <v>251</v>
      </c>
      <c r="V205" t="s">
        <v>493</v>
      </c>
      <c r="W205" t="s">
        <v>496</v>
      </c>
      <c r="X205" t="s">
        <v>497</v>
      </c>
      <c r="Y205" t="s">
        <v>498</v>
      </c>
    </row>
    <row r="206" spans="1:25">
      <c r="A206">
        <v>13527</v>
      </c>
      <c r="B206" t="s">
        <v>25</v>
      </c>
      <c r="C206" t="str">
        <f t="shared" si="6"/>
        <v>INTEGRA Saloon</v>
      </c>
      <c r="D206" t="str">
        <f t="shared" si="7"/>
        <v>1.5</v>
      </c>
      <c r="E206" t="s">
        <v>26</v>
      </c>
      <c r="F206">
        <v>198501</v>
      </c>
      <c r="G206">
        <v>199012</v>
      </c>
      <c r="H206">
        <v>63</v>
      </c>
      <c r="I206">
        <v>85</v>
      </c>
      <c r="J206">
        <v>1488</v>
      </c>
      <c r="K206">
        <v>3683880</v>
      </c>
      <c r="L206" t="s">
        <v>501</v>
      </c>
      <c r="M206" t="str">
        <f>"514969"</f>
        <v>514969</v>
      </c>
      <c r="N206" t="str">
        <f>"514969"</f>
        <v>514969</v>
      </c>
      <c r="O206" t="str">
        <f>""</f>
        <v/>
      </c>
      <c r="P206" t="s">
        <v>493</v>
      </c>
      <c r="Q206" t="str">
        <f>""</f>
        <v/>
      </c>
      <c r="R206" t="s">
        <v>502</v>
      </c>
      <c r="T206" t="s">
        <v>503</v>
      </c>
      <c r="U206">
        <v>251</v>
      </c>
      <c r="V206" t="s">
        <v>493</v>
      </c>
      <c r="W206" t="s">
        <v>496</v>
      </c>
      <c r="X206" t="s">
        <v>497</v>
      </c>
      <c r="Y206" t="s">
        <v>498</v>
      </c>
    </row>
    <row r="207" spans="1:25">
      <c r="A207">
        <v>13527</v>
      </c>
      <c r="B207" t="s">
        <v>25</v>
      </c>
      <c r="C207" t="str">
        <f t="shared" si="6"/>
        <v>INTEGRA Saloon</v>
      </c>
      <c r="D207" t="str">
        <f t="shared" si="7"/>
        <v>1.5</v>
      </c>
      <c r="E207" t="s">
        <v>26</v>
      </c>
      <c r="F207">
        <v>198501</v>
      </c>
      <c r="G207">
        <v>199012</v>
      </c>
      <c r="H207">
        <v>63</v>
      </c>
      <c r="I207">
        <v>85</v>
      </c>
      <c r="J207">
        <v>1488</v>
      </c>
      <c r="K207">
        <v>4239591</v>
      </c>
      <c r="L207" t="s">
        <v>504</v>
      </c>
      <c r="M207" t="str">
        <f>"J44002AYMT"</f>
        <v>J44002AYMT</v>
      </c>
      <c r="N207" t="str">
        <f>"J44002AYMT"</f>
        <v>J44002AYMT</v>
      </c>
      <c r="O207" t="str">
        <f>""</f>
        <v/>
      </c>
      <c r="P207" t="s">
        <v>493</v>
      </c>
      <c r="Q207" t="str">
        <f>""</f>
        <v/>
      </c>
      <c r="S207" t="s">
        <v>505</v>
      </c>
      <c r="T207" t="s">
        <v>506</v>
      </c>
      <c r="U207">
        <v>251</v>
      </c>
      <c r="V207" t="s">
        <v>493</v>
      </c>
      <c r="W207" t="s">
        <v>496</v>
      </c>
      <c r="X207" t="s">
        <v>497</v>
      </c>
      <c r="Y207" t="s">
        <v>498</v>
      </c>
    </row>
    <row r="208" spans="1:25">
      <c r="A208">
        <v>13527</v>
      </c>
      <c r="B208" t="s">
        <v>25</v>
      </c>
      <c r="C208" t="str">
        <f t="shared" si="6"/>
        <v>INTEGRA Saloon</v>
      </c>
      <c r="D208" t="str">
        <f t="shared" si="7"/>
        <v>1.5</v>
      </c>
      <c r="E208" t="s">
        <v>26</v>
      </c>
      <c r="F208">
        <v>198501</v>
      </c>
      <c r="G208">
        <v>199012</v>
      </c>
      <c r="H208">
        <v>63</v>
      </c>
      <c r="I208">
        <v>85</v>
      </c>
      <c r="J208">
        <v>1488</v>
      </c>
      <c r="K208">
        <v>4407796</v>
      </c>
      <c r="L208" t="s">
        <v>507</v>
      </c>
      <c r="M208" t="str">
        <f>"8737048SX"</f>
        <v>8737048SX</v>
      </c>
      <c r="N208" t="str">
        <f>"87-37048-SX"</f>
        <v>87-37048-SX</v>
      </c>
      <c r="O208" t="str">
        <f>""</f>
        <v/>
      </c>
      <c r="P208" t="s">
        <v>493</v>
      </c>
      <c r="Q208" t="str">
        <f>""</f>
        <v/>
      </c>
      <c r="R208" t="s">
        <v>508</v>
      </c>
      <c r="T208" t="s">
        <v>509</v>
      </c>
      <c r="U208">
        <v>251</v>
      </c>
      <c r="V208" t="s">
        <v>493</v>
      </c>
      <c r="W208" t="s">
        <v>496</v>
      </c>
      <c r="X208" t="s">
        <v>497</v>
      </c>
      <c r="Y208" t="s">
        <v>498</v>
      </c>
    </row>
    <row r="209" spans="1:25">
      <c r="A209">
        <v>13527</v>
      </c>
      <c r="B209" t="s">
        <v>25</v>
      </c>
      <c r="C209" t="str">
        <f t="shared" si="6"/>
        <v>INTEGRA Saloon</v>
      </c>
      <c r="D209" t="str">
        <f t="shared" si="7"/>
        <v>1.5</v>
      </c>
      <c r="E209" t="s">
        <v>26</v>
      </c>
      <c r="F209">
        <v>198501</v>
      </c>
      <c r="G209">
        <v>199012</v>
      </c>
      <c r="H209">
        <v>63</v>
      </c>
      <c r="I209">
        <v>85</v>
      </c>
      <c r="J209">
        <v>1488</v>
      </c>
      <c r="K209">
        <v>953972</v>
      </c>
      <c r="L209" t="s">
        <v>218</v>
      </c>
      <c r="M209" t="str">
        <f>"PRH3235"</f>
        <v>PRH3235</v>
      </c>
      <c r="N209" t="str">
        <f>"PRH3235"</f>
        <v>PRH3235</v>
      </c>
      <c r="O209" t="str">
        <f>""</f>
        <v/>
      </c>
      <c r="P209" t="s">
        <v>510</v>
      </c>
      <c r="Q209" t="str">
        <f>""</f>
        <v/>
      </c>
      <c r="R209" t="s">
        <v>511</v>
      </c>
      <c r="S209" t="s">
        <v>512</v>
      </c>
      <c r="T209" t="s">
        <v>513</v>
      </c>
      <c r="U209">
        <v>258</v>
      </c>
      <c r="V209" t="s">
        <v>510</v>
      </c>
      <c r="W209" t="s">
        <v>514</v>
      </c>
      <c r="X209" t="s">
        <v>224</v>
      </c>
      <c r="Y209" t="s">
        <v>510</v>
      </c>
    </row>
    <row r="210" spans="1:25">
      <c r="A210">
        <v>13527</v>
      </c>
      <c r="B210" t="s">
        <v>25</v>
      </c>
      <c r="C210" t="str">
        <f t="shared" si="6"/>
        <v>INTEGRA Saloon</v>
      </c>
      <c r="D210" t="str">
        <f t="shared" si="7"/>
        <v>1.5</v>
      </c>
      <c r="E210" t="s">
        <v>26</v>
      </c>
      <c r="F210">
        <v>198501</v>
      </c>
      <c r="G210">
        <v>199012</v>
      </c>
      <c r="H210">
        <v>63</v>
      </c>
      <c r="I210">
        <v>85</v>
      </c>
      <c r="J210">
        <v>1488</v>
      </c>
      <c r="K210">
        <v>1893710</v>
      </c>
      <c r="L210" t="s">
        <v>231</v>
      </c>
      <c r="M210" t="str">
        <f>"M28007"</f>
        <v>M28007</v>
      </c>
      <c r="N210" t="str">
        <f>"M 28 007"</f>
        <v>M 28 007</v>
      </c>
      <c r="O210" t="str">
        <f>""</f>
        <v/>
      </c>
      <c r="P210" t="s">
        <v>510</v>
      </c>
      <c r="Q210" t="str">
        <f>"8432509609736"</f>
        <v>8432509609736</v>
      </c>
      <c r="R210" t="s">
        <v>515</v>
      </c>
      <c r="S210" t="s">
        <v>516</v>
      </c>
      <c r="T210" t="s">
        <v>517</v>
      </c>
      <c r="U210">
        <v>258</v>
      </c>
      <c r="V210" t="s">
        <v>510</v>
      </c>
      <c r="W210" t="s">
        <v>514</v>
      </c>
      <c r="X210" t="s">
        <v>224</v>
      </c>
      <c r="Y210" t="s">
        <v>510</v>
      </c>
    </row>
    <row r="211" spans="1:25">
      <c r="A211">
        <v>13527</v>
      </c>
      <c r="B211" t="s">
        <v>25</v>
      </c>
      <c r="C211" t="str">
        <f t="shared" si="6"/>
        <v>INTEGRA Saloon</v>
      </c>
      <c r="D211" t="str">
        <f t="shared" si="7"/>
        <v>1.5</v>
      </c>
      <c r="E211" t="s">
        <v>26</v>
      </c>
      <c r="F211">
        <v>198501</v>
      </c>
      <c r="G211">
        <v>199012</v>
      </c>
      <c r="H211">
        <v>63</v>
      </c>
      <c r="I211">
        <v>85</v>
      </c>
      <c r="J211">
        <v>1488</v>
      </c>
      <c r="K211">
        <v>2021367</v>
      </c>
      <c r="L211" t="s">
        <v>518</v>
      </c>
      <c r="M211" t="str">
        <f>"LM60607"</f>
        <v>LM60607</v>
      </c>
      <c r="N211" t="str">
        <f>"LM60607"</f>
        <v>LM60607</v>
      </c>
      <c r="O211" t="str">
        <f>""</f>
        <v/>
      </c>
      <c r="P211" t="s">
        <v>510</v>
      </c>
      <c r="Q211" t="str">
        <f>"5012759813850"</f>
        <v>5012759813850</v>
      </c>
      <c r="R211" t="s">
        <v>519</v>
      </c>
      <c r="S211" t="s">
        <v>520</v>
      </c>
      <c r="T211" s="1" t="s">
        <v>521</v>
      </c>
      <c r="U211">
        <v>258</v>
      </c>
      <c r="V211" t="s">
        <v>510</v>
      </c>
      <c r="W211" t="s">
        <v>514</v>
      </c>
      <c r="X211" t="s">
        <v>224</v>
      </c>
      <c r="Y211" t="s">
        <v>510</v>
      </c>
    </row>
    <row r="212" spans="1:25">
      <c r="A212">
        <v>13527</v>
      </c>
      <c r="B212" t="s">
        <v>25</v>
      </c>
      <c r="C212" t="str">
        <f t="shared" si="6"/>
        <v>INTEGRA Saloon</v>
      </c>
      <c r="D212" t="str">
        <f t="shared" si="7"/>
        <v>1.5</v>
      </c>
      <c r="E212" t="s">
        <v>26</v>
      </c>
      <c r="F212">
        <v>198501</v>
      </c>
      <c r="G212">
        <v>199012</v>
      </c>
      <c r="H212">
        <v>63</v>
      </c>
      <c r="I212">
        <v>85</v>
      </c>
      <c r="J212">
        <v>1488</v>
      </c>
      <c r="K212">
        <v>2787244</v>
      </c>
      <c r="L212" t="s">
        <v>236</v>
      </c>
      <c r="M212" t="str">
        <f>"1614"</f>
        <v>1614</v>
      </c>
      <c r="N212" t="str">
        <f>"1614"</f>
        <v>1614</v>
      </c>
      <c r="O212" t="str">
        <f>"P21660"</f>
        <v>P21660</v>
      </c>
      <c r="P212" t="s">
        <v>510</v>
      </c>
      <c r="Q212" t="str">
        <f>"8032532022504"</f>
        <v>8032532022504</v>
      </c>
      <c r="R212" t="s">
        <v>522</v>
      </c>
      <c r="S212" t="s">
        <v>516</v>
      </c>
      <c r="T212" s="1" t="s">
        <v>523</v>
      </c>
      <c r="U212">
        <v>258</v>
      </c>
      <c r="V212" t="s">
        <v>510</v>
      </c>
      <c r="W212" t="s">
        <v>514</v>
      </c>
      <c r="X212" t="s">
        <v>224</v>
      </c>
      <c r="Y212" t="s">
        <v>510</v>
      </c>
    </row>
    <row r="213" spans="1:25">
      <c r="A213">
        <v>13527</v>
      </c>
      <c r="B213" t="s">
        <v>25</v>
      </c>
      <c r="C213" t="str">
        <f t="shared" si="6"/>
        <v>INTEGRA Saloon</v>
      </c>
      <c r="D213" t="str">
        <f t="shared" si="7"/>
        <v>1.5</v>
      </c>
      <c r="E213" t="s">
        <v>26</v>
      </c>
      <c r="F213">
        <v>198501</v>
      </c>
      <c r="G213">
        <v>199012</v>
      </c>
      <c r="H213">
        <v>63</v>
      </c>
      <c r="I213">
        <v>85</v>
      </c>
      <c r="J213">
        <v>1488</v>
      </c>
      <c r="K213">
        <v>2997222</v>
      </c>
      <c r="L213" t="s">
        <v>51</v>
      </c>
      <c r="M213" t="str">
        <f>"5323"</f>
        <v>5323</v>
      </c>
      <c r="N213" t="str">
        <f>"5323"</f>
        <v>5323</v>
      </c>
      <c r="O213" t="str">
        <f>""</f>
        <v/>
      </c>
      <c r="P213" t="s">
        <v>510</v>
      </c>
      <c r="Q213" t="str">
        <f>""</f>
        <v/>
      </c>
      <c r="R213" t="s">
        <v>524</v>
      </c>
      <c r="T213" t="s">
        <v>525</v>
      </c>
      <c r="U213">
        <v>258</v>
      </c>
      <c r="V213" t="s">
        <v>510</v>
      </c>
      <c r="W213" t="s">
        <v>514</v>
      </c>
      <c r="X213" t="s">
        <v>224</v>
      </c>
      <c r="Y213" t="s">
        <v>510</v>
      </c>
    </row>
    <row r="214" spans="1:25">
      <c r="A214">
        <v>13527</v>
      </c>
      <c r="B214" t="s">
        <v>25</v>
      </c>
      <c r="C214" t="str">
        <f t="shared" si="6"/>
        <v>INTEGRA Saloon</v>
      </c>
      <c r="D214" t="str">
        <f t="shared" si="7"/>
        <v>1.5</v>
      </c>
      <c r="E214" t="s">
        <v>26</v>
      </c>
      <c r="F214">
        <v>198501</v>
      </c>
      <c r="G214">
        <v>199012</v>
      </c>
      <c r="H214">
        <v>63</v>
      </c>
      <c r="I214">
        <v>85</v>
      </c>
      <c r="J214">
        <v>1488</v>
      </c>
      <c r="K214">
        <v>3203248</v>
      </c>
      <c r="L214" t="s">
        <v>394</v>
      </c>
      <c r="M214" t="str">
        <f>"T2248"</f>
        <v>T2248</v>
      </c>
      <c r="N214" t="str">
        <f>"T2248"</f>
        <v>T2248</v>
      </c>
      <c r="O214" t="str">
        <f>""</f>
        <v/>
      </c>
      <c r="P214" t="s">
        <v>510</v>
      </c>
      <c r="Q214" t="str">
        <f>""</f>
        <v/>
      </c>
      <c r="R214" t="s">
        <v>526</v>
      </c>
      <c r="T214" t="s">
        <v>527</v>
      </c>
      <c r="U214">
        <v>258</v>
      </c>
      <c r="V214" t="s">
        <v>510</v>
      </c>
      <c r="W214" t="s">
        <v>514</v>
      </c>
      <c r="X214" t="s">
        <v>224</v>
      </c>
      <c r="Y214" t="s">
        <v>510</v>
      </c>
    </row>
    <row r="215" spans="1:25">
      <c r="A215">
        <v>13527</v>
      </c>
      <c r="B215" t="s">
        <v>25</v>
      </c>
      <c r="C215" t="str">
        <f t="shared" si="6"/>
        <v>INTEGRA Saloon</v>
      </c>
      <c r="D215" t="str">
        <f t="shared" si="7"/>
        <v>1.5</v>
      </c>
      <c r="E215" t="s">
        <v>26</v>
      </c>
      <c r="F215">
        <v>198501</v>
      </c>
      <c r="G215">
        <v>199012</v>
      </c>
      <c r="H215">
        <v>63</v>
      </c>
      <c r="I215">
        <v>85</v>
      </c>
      <c r="J215">
        <v>1488</v>
      </c>
      <c r="K215">
        <v>3246802</v>
      </c>
      <c r="L215" t="s">
        <v>199</v>
      </c>
      <c r="M215" t="str">
        <f>"B1614"</f>
        <v>B1614</v>
      </c>
      <c r="N215" t="str">
        <f>"B1614"</f>
        <v>B1614</v>
      </c>
      <c r="O215" t="str">
        <f>""</f>
        <v/>
      </c>
      <c r="P215" t="s">
        <v>510</v>
      </c>
      <c r="Q215" t="str">
        <f>""</f>
        <v/>
      </c>
      <c r="R215" t="s">
        <v>528</v>
      </c>
      <c r="S215" t="s">
        <v>516</v>
      </c>
      <c r="T215" s="1" t="s">
        <v>529</v>
      </c>
      <c r="U215">
        <v>258</v>
      </c>
      <c r="V215" t="s">
        <v>510</v>
      </c>
      <c r="W215" t="s">
        <v>514</v>
      </c>
      <c r="X215" t="s">
        <v>224</v>
      </c>
      <c r="Y215" t="s">
        <v>510</v>
      </c>
    </row>
    <row r="216" spans="1:25">
      <c r="A216">
        <v>13527</v>
      </c>
      <c r="B216" t="s">
        <v>25</v>
      </c>
      <c r="C216" t="str">
        <f t="shared" si="6"/>
        <v>INTEGRA Saloon</v>
      </c>
      <c r="D216" t="str">
        <f t="shared" si="7"/>
        <v>1.5</v>
      </c>
      <c r="E216" t="s">
        <v>26</v>
      </c>
      <c r="F216">
        <v>198501</v>
      </c>
      <c r="G216">
        <v>199012</v>
      </c>
      <c r="H216">
        <v>63</v>
      </c>
      <c r="I216">
        <v>85</v>
      </c>
      <c r="J216">
        <v>1488</v>
      </c>
      <c r="K216">
        <v>4049023</v>
      </c>
      <c r="L216" t="s">
        <v>426</v>
      </c>
      <c r="M216" t="str">
        <f>"6212925"</f>
        <v>6212925</v>
      </c>
      <c r="N216" t="str">
        <f>"621.2925"</f>
        <v>621.2925</v>
      </c>
      <c r="O216" t="str">
        <f>""</f>
        <v/>
      </c>
      <c r="P216" t="s">
        <v>510</v>
      </c>
      <c r="Q216" t="str">
        <f>"8432509012673"</f>
        <v>8432509012673</v>
      </c>
      <c r="R216" t="s">
        <v>530</v>
      </c>
      <c r="S216" t="s">
        <v>531</v>
      </c>
      <c r="T216" s="1" t="s">
        <v>532</v>
      </c>
      <c r="U216">
        <v>258</v>
      </c>
      <c r="V216" t="s">
        <v>510</v>
      </c>
      <c r="W216" t="s">
        <v>514</v>
      </c>
      <c r="X216" t="s">
        <v>224</v>
      </c>
      <c r="Y216" t="s">
        <v>510</v>
      </c>
    </row>
    <row r="217" spans="1:25">
      <c r="A217">
        <v>13527</v>
      </c>
      <c r="B217" t="s">
        <v>25</v>
      </c>
      <c r="C217" t="str">
        <f t="shared" si="6"/>
        <v>INTEGRA Saloon</v>
      </c>
      <c r="D217" t="str">
        <f t="shared" si="7"/>
        <v>1.5</v>
      </c>
      <c r="E217" t="s">
        <v>26</v>
      </c>
      <c r="F217">
        <v>198501</v>
      </c>
      <c r="G217">
        <v>199012</v>
      </c>
      <c r="H217">
        <v>63</v>
      </c>
      <c r="I217">
        <v>85</v>
      </c>
      <c r="J217">
        <v>1488</v>
      </c>
      <c r="K217">
        <v>4268539</v>
      </c>
      <c r="L217" t="s">
        <v>436</v>
      </c>
      <c r="M217" t="str">
        <f>"AM1004"</f>
        <v>AM1004</v>
      </c>
      <c r="N217" t="str">
        <f>"AM1004"</f>
        <v>AM1004</v>
      </c>
      <c r="O217" t="str">
        <f>""</f>
        <v/>
      </c>
      <c r="P217" t="s">
        <v>510</v>
      </c>
      <c r="Q217" t="str">
        <f>""</f>
        <v/>
      </c>
      <c r="R217" t="s">
        <v>533</v>
      </c>
      <c r="T217" s="1" t="s">
        <v>534</v>
      </c>
      <c r="U217">
        <v>258</v>
      </c>
      <c r="V217" t="s">
        <v>510</v>
      </c>
      <c r="W217" t="s">
        <v>514</v>
      </c>
      <c r="X217" t="s">
        <v>224</v>
      </c>
      <c r="Y217" t="s">
        <v>510</v>
      </c>
    </row>
    <row r="218" spans="1:25">
      <c r="A218">
        <v>13527</v>
      </c>
      <c r="B218" t="s">
        <v>25</v>
      </c>
      <c r="C218" t="str">
        <f t="shared" si="6"/>
        <v>INTEGRA Saloon</v>
      </c>
      <c r="D218" t="str">
        <f t="shared" si="7"/>
        <v>1.5</v>
      </c>
      <c r="E218" t="s">
        <v>26</v>
      </c>
      <c r="F218">
        <v>198501</v>
      </c>
      <c r="G218">
        <v>199012</v>
      </c>
      <c r="H218">
        <v>63</v>
      </c>
      <c r="I218">
        <v>85</v>
      </c>
      <c r="J218">
        <v>1488</v>
      </c>
      <c r="K218">
        <v>3032849</v>
      </c>
      <c r="L218" t="s">
        <v>33</v>
      </c>
      <c r="M218" t="str">
        <f>"J4904003"</f>
        <v>J4904003</v>
      </c>
      <c r="N218" t="str">
        <f>"J4904003"</f>
        <v>J4904003</v>
      </c>
      <c r="O218" t="str">
        <f>""</f>
        <v/>
      </c>
      <c r="P218" t="s">
        <v>535</v>
      </c>
      <c r="Q218" t="str">
        <f>"8711768099503"</f>
        <v>8711768099503</v>
      </c>
      <c r="R218" t="s">
        <v>536</v>
      </c>
      <c r="S218" t="s">
        <v>537</v>
      </c>
      <c r="T218" s="1" t="s">
        <v>538</v>
      </c>
      <c r="U218">
        <v>273</v>
      </c>
      <c r="V218" t="s">
        <v>535</v>
      </c>
      <c r="W218" t="s">
        <v>498</v>
      </c>
      <c r="X218" t="s">
        <v>497</v>
      </c>
    </row>
    <row r="219" spans="1:25">
      <c r="A219">
        <v>13527</v>
      </c>
      <c r="B219" t="s">
        <v>25</v>
      </c>
      <c r="C219" t="str">
        <f t="shared" si="6"/>
        <v>INTEGRA Saloon</v>
      </c>
      <c r="D219" t="str">
        <f t="shared" si="7"/>
        <v>1.5</v>
      </c>
      <c r="E219" t="s">
        <v>26</v>
      </c>
      <c r="F219">
        <v>198501</v>
      </c>
      <c r="G219">
        <v>199012</v>
      </c>
      <c r="H219">
        <v>63</v>
      </c>
      <c r="I219">
        <v>85</v>
      </c>
      <c r="J219">
        <v>1488</v>
      </c>
      <c r="K219">
        <v>3033017</v>
      </c>
      <c r="L219" t="s">
        <v>33</v>
      </c>
      <c r="M219" t="str">
        <f>"J4914003"</f>
        <v>J4914003</v>
      </c>
      <c r="N219" t="str">
        <f>"J4914003"</f>
        <v>J4914003</v>
      </c>
      <c r="O219" t="str">
        <f>""</f>
        <v/>
      </c>
      <c r="P219" t="s">
        <v>535</v>
      </c>
      <c r="Q219" t="str">
        <f>"8711768100216"</f>
        <v>8711768100216</v>
      </c>
      <c r="R219" t="s">
        <v>536</v>
      </c>
      <c r="S219" t="s">
        <v>539</v>
      </c>
      <c r="T219" s="1" t="s">
        <v>540</v>
      </c>
      <c r="U219">
        <v>273</v>
      </c>
      <c r="V219" t="s">
        <v>535</v>
      </c>
      <c r="W219" t="s">
        <v>498</v>
      </c>
      <c r="X219" t="s">
        <v>497</v>
      </c>
    </row>
    <row r="220" spans="1:25">
      <c r="A220">
        <v>13527</v>
      </c>
      <c r="B220" t="s">
        <v>25</v>
      </c>
      <c r="C220" t="str">
        <f t="shared" si="6"/>
        <v>INTEGRA Saloon</v>
      </c>
      <c r="D220" t="str">
        <f t="shared" si="7"/>
        <v>1.5</v>
      </c>
      <c r="E220" t="s">
        <v>26</v>
      </c>
      <c r="F220">
        <v>198501</v>
      </c>
      <c r="G220">
        <v>199012</v>
      </c>
      <c r="H220">
        <v>63</v>
      </c>
      <c r="I220">
        <v>85</v>
      </c>
      <c r="J220">
        <v>1488</v>
      </c>
      <c r="K220">
        <v>3964730</v>
      </c>
      <c r="L220" t="s">
        <v>27</v>
      </c>
      <c r="M220" t="str">
        <f>"H57901"</f>
        <v>H57901</v>
      </c>
      <c r="N220" t="str">
        <f>"H579-01"</f>
        <v>H579-01</v>
      </c>
      <c r="O220" t="str">
        <f>""</f>
        <v/>
      </c>
      <c r="P220" t="s">
        <v>535</v>
      </c>
      <c r="Q220" t="str">
        <f>"8718993218983"</f>
        <v>8718993218983</v>
      </c>
      <c r="R220" t="s">
        <v>541</v>
      </c>
      <c r="S220" t="s">
        <v>542</v>
      </c>
      <c r="T220" s="1" t="s">
        <v>543</v>
      </c>
      <c r="U220">
        <v>273</v>
      </c>
      <c r="V220" t="s">
        <v>535</v>
      </c>
      <c r="W220" t="s">
        <v>498</v>
      </c>
      <c r="X220" t="s">
        <v>497</v>
      </c>
    </row>
    <row r="221" spans="1:25">
      <c r="A221">
        <v>13527</v>
      </c>
      <c r="B221" t="s">
        <v>25</v>
      </c>
      <c r="C221" t="str">
        <f t="shared" si="6"/>
        <v>INTEGRA Saloon</v>
      </c>
      <c r="D221" t="str">
        <f t="shared" si="7"/>
        <v>1.5</v>
      </c>
      <c r="E221" t="s">
        <v>26</v>
      </c>
      <c r="F221">
        <v>198501</v>
      </c>
      <c r="G221">
        <v>199012</v>
      </c>
      <c r="H221">
        <v>63</v>
      </c>
      <c r="I221">
        <v>85</v>
      </c>
      <c r="J221">
        <v>1488</v>
      </c>
      <c r="K221">
        <v>3964731</v>
      </c>
      <c r="L221" t="s">
        <v>27</v>
      </c>
      <c r="M221" t="str">
        <f>"H58001"</f>
        <v>H58001</v>
      </c>
      <c r="N221" t="str">
        <f>"H580-01"</f>
        <v>H580-01</v>
      </c>
      <c r="O221" t="str">
        <f>""</f>
        <v/>
      </c>
      <c r="P221" t="s">
        <v>535</v>
      </c>
      <c r="Q221" t="str">
        <f>"8718993218990"</f>
        <v>8718993218990</v>
      </c>
      <c r="R221" t="s">
        <v>544</v>
      </c>
      <c r="S221" t="s">
        <v>545</v>
      </c>
      <c r="T221" s="1" t="s">
        <v>546</v>
      </c>
      <c r="U221">
        <v>273</v>
      </c>
      <c r="V221" t="s">
        <v>535</v>
      </c>
      <c r="W221" t="s">
        <v>498</v>
      </c>
      <c r="X221" t="s">
        <v>497</v>
      </c>
    </row>
    <row r="222" spans="1:25">
      <c r="A222">
        <v>13527</v>
      </c>
      <c r="B222" t="s">
        <v>25</v>
      </c>
      <c r="C222" t="str">
        <f t="shared" si="6"/>
        <v>INTEGRA Saloon</v>
      </c>
      <c r="D222" t="str">
        <f t="shared" si="7"/>
        <v>1.5</v>
      </c>
      <c r="E222" t="s">
        <v>26</v>
      </c>
      <c r="F222">
        <v>198501</v>
      </c>
      <c r="G222">
        <v>199012</v>
      </c>
      <c r="H222">
        <v>63</v>
      </c>
      <c r="I222">
        <v>85</v>
      </c>
      <c r="J222">
        <v>1488</v>
      </c>
      <c r="K222">
        <v>3029731</v>
      </c>
      <c r="L222" t="s">
        <v>33</v>
      </c>
      <c r="M222" t="str">
        <f>"J3234001"</f>
        <v>J3234001</v>
      </c>
      <c r="N222" t="str">
        <f>"J3234001"</f>
        <v>J3234001</v>
      </c>
      <c r="O222" t="str">
        <f>""</f>
        <v/>
      </c>
      <c r="P222" t="s">
        <v>547</v>
      </c>
      <c r="Q222" t="str">
        <f>"8711768205096"</f>
        <v>8711768205096</v>
      </c>
      <c r="R222" t="s">
        <v>548</v>
      </c>
      <c r="S222" t="s">
        <v>549</v>
      </c>
      <c r="T222" s="1" t="s">
        <v>550</v>
      </c>
      <c r="U222">
        <v>277</v>
      </c>
      <c r="V222" t="s">
        <v>547</v>
      </c>
      <c r="W222" t="s">
        <v>514</v>
      </c>
      <c r="X222" t="s">
        <v>224</v>
      </c>
      <c r="Y222" t="s">
        <v>547</v>
      </c>
    </row>
    <row r="223" spans="1:25">
      <c r="A223">
        <v>13527</v>
      </c>
      <c r="B223" t="s">
        <v>25</v>
      </c>
      <c r="C223" t="str">
        <f t="shared" si="6"/>
        <v>INTEGRA Saloon</v>
      </c>
      <c r="D223" t="str">
        <f t="shared" si="7"/>
        <v>1.5</v>
      </c>
      <c r="E223" t="s">
        <v>26</v>
      </c>
      <c r="F223">
        <v>198501</v>
      </c>
      <c r="G223">
        <v>199012</v>
      </c>
      <c r="H223">
        <v>63</v>
      </c>
      <c r="I223">
        <v>85</v>
      </c>
      <c r="J223">
        <v>1488</v>
      </c>
      <c r="K223">
        <v>3029839</v>
      </c>
      <c r="L223" t="s">
        <v>33</v>
      </c>
      <c r="M223" t="str">
        <f>"J3244000"</f>
        <v>J3244000</v>
      </c>
      <c r="N223" t="str">
        <f>"J3244000"</f>
        <v>J3244000</v>
      </c>
      <c r="O223" t="str">
        <f>""</f>
        <v/>
      </c>
      <c r="P223" t="s">
        <v>547</v>
      </c>
      <c r="Q223" t="str">
        <f>"8711768063658"</f>
        <v>8711768063658</v>
      </c>
      <c r="R223" t="s">
        <v>548</v>
      </c>
      <c r="S223" t="s">
        <v>551</v>
      </c>
      <c r="T223" s="1" t="s">
        <v>552</v>
      </c>
      <c r="U223">
        <v>277</v>
      </c>
      <c r="V223" t="s">
        <v>547</v>
      </c>
      <c r="W223" t="s">
        <v>514</v>
      </c>
      <c r="X223" t="s">
        <v>224</v>
      </c>
      <c r="Y223" t="s">
        <v>547</v>
      </c>
    </row>
    <row r="224" spans="1:25">
      <c r="A224">
        <v>13527</v>
      </c>
      <c r="B224" t="s">
        <v>25</v>
      </c>
      <c r="C224" t="str">
        <f t="shared" si="6"/>
        <v>INTEGRA Saloon</v>
      </c>
      <c r="D224" t="str">
        <f t="shared" si="7"/>
        <v>1.5</v>
      </c>
      <c r="E224" t="s">
        <v>26</v>
      </c>
      <c r="F224">
        <v>198501</v>
      </c>
      <c r="G224">
        <v>199012</v>
      </c>
      <c r="H224">
        <v>63</v>
      </c>
      <c r="I224">
        <v>85</v>
      </c>
      <c r="J224">
        <v>1488</v>
      </c>
      <c r="K224">
        <v>3963780</v>
      </c>
      <c r="L224" t="s">
        <v>27</v>
      </c>
      <c r="M224" t="str">
        <f>"H07301"</f>
        <v>H07301</v>
      </c>
      <c r="N224" t="str">
        <f>"H073-01"</f>
        <v>H073-01</v>
      </c>
      <c r="O224" t="str">
        <f>""</f>
        <v/>
      </c>
      <c r="P224" t="s">
        <v>547</v>
      </c>
      <c r="Q224" t="str">
        <f>"8718993208243"</f>
        <v>8718993208243</v>
      </c>
      <c r="R224" t="s">
        <v>553</v>
      </c>
      <c r="S224" t="s">
        <v>551</v>
      </c>
      <c r="T224" s="1" t="s">
        <v>554</v>
      </c>
      <c r="U224">
        <v>277</v>
      </c>
      <c r="V224" t="s">
        <v>547</v>
      </c>
      <c r="W224" t="s">
        <v>514</v>
      </c>
      <c r="X224" t="s">
        <v>224</v>
      </c>
      <c r="Y224" t="s">
        <v>547</v>
      </c>
    </row>
    <row r="225" spans="1:25">
      <c r="A225">
        <v>13527</v>
      </c>
      <c r="B225" t="s">
        <v>25</v>
      </c>
      <c r="C225" t="str">
        <f t="shared" si="6"/>
        <v>INTEGRA Saloon</v>
      </c>
      <c r="D225" t="str">
        <f t="shared" si="7"/>
        <v>1.5</v>
      </c>
      <c r="E225" t="s">
        <v>26</v>
      </c>
      <c r="F225">
        <v>198501</v>
      </c>
      <c r="G225">
        <v>199012</v>
      </c>
      <c r="H225">
        <v>63</v>
      </c>
      <c r="I225">
        <v>85</v>
      </c>
      <c r="J225">
        <v>1488</v>
      </c>
      <c r="K225">
        <v>3963781</v>
      </c>
      <c r="L225" t="s">
        <v>27</v>
      </c>
      <c r="M225" t="str">
        <f>"H07302"</f>
        <v>H07302</v>
      </c>
      <c r="N225" t="str">
        <f>"H073-02"</f>
        <v>H073-02</v>
      </c>
      <c r="O225" t="str">
        <f>""</f>
        <v/>
      </c>
      <c r="P225" t="s">
        <v>547</v>
      </c>
      <c r="Q225" t="str">
        <f>"8718993208250"</f>
        <v>8718993208250</v>
      </c>
      <c r="R225" t="s">
        <v>555</v>
      </c>
      <c r="S225" t="s">
        <v>549</v>
      </c>
      <c r="T225" s="1" t="s">
        <v>556</v>
      </c>
      <c r="U225">
        <v>277</v>
      </c>
      <c r="V225" t="s">
        <v>547</v>
      </c>
      <c r="W225" t="s">
        <v>514</v>
      </c>
      <c r="X225" t="s">
        <v>224</v>
      </c>
      <c r="Y225" t="s">
        <v>547</v>
      </c>
    </row>
    <row r="226" spans="1:25">
      <c r="A226">
        <v>13527</v>
      </c>
      <c r="B226" t="s">
        <v>25</v>
      </c>
      <c r="C226" t="str">
        <f t="shared" si="6"/>
        <v>INTEGRA Saloon</v>
      </c>
      <c r="D226" t="str">
        <f t="shared" si="7"/>
        <v>1.5</v>
      </c>
      <c r="E226" t="s">
        <v>26</v>
      </c>
      <c r="F226">
        <v>198501</v>
      </c>
      <c r="G226">
        <v>199012</v>
      </c>
      <c r="H226">
        <v>63</v>
      </c>
      <c r="I226">
        <v>85</v>
      </c>
      <c r="J226">
        <v>1488</v>
      </c>
      <c r="K226">
        <v>4200225</v>
      </c>
      <c r="L226" t="s">
        <v>255</v>
      </c>
      <c r="M226" t="str">
        <f>"C54001ABE"</f>
        <v>C54001ABE</v>
      </c>
      <c r="N226" t="str">
        <f>"C54001ABE"</f>
        <v>C54001ABE</v>
      </c>
      <c r="O226" t="str">
        <f>""</f>
        <v/>
      </c>
      <c r="P226" t="s">
        <v>547</v>
      </c>
      <c r="Q226" t="str">
        <f>""</f>
        <v/>
      </c>
      <c r="R226" t="s">
        <v>557</v>
      </c>
      <c r="S226" t="s">
        <v>549</v>
      </c>
      <c r="T226" s="1" t="s">
        <v>558</v>
      </c>
      <c r="U226">
        <v>277</v>
      </c>
      <c r="V226" t="s">
        <v>547</v>
      </c>
      <c r="W226" t="s">
        <v>514</v>
      </c>
      <c r="X226" t="s">
        <v>224</v>
      </c>
      <c r="Y226" t="s">
        <v>547</v>
      </c>
    </row>
    <row r="227" spans="1:25">
      <c r="A227">
        <v>13527</v>
      </c>
      <c r="B227" t="s">
        <v>25</v>
      </c>
      <c r="C227" t="str">
        <f t="shared" si="6"/>
        <v>INTEGRA Saloon</v>
      </c>
      <c r="D227" t="str">
        <f t="shared" si="7"/>
        <v>1.5</v>
      </c>
      <c r="E227" t="s">
        <v>26</v>
      </c>
      <c r="F227">
        <v>198501</v>
      </c>
      <c r="G227">
        <v>199012</v>
      </c>
      <c r="H227">
        <v>63</v>
      </c>
      <c r="I227">
        <v>85</v>
      </c>
      <c r="J227">
        <v>1488</v>
      </c>
      <c r="K227">
        <v>4200226</v>
      </c>
      <c r="L227" t="s">
        <v>255</v>
      </c>
      <c r="M227" t="str">
        <f>"C54002ABE"</f>
        <v>C54002ABE</v>
      </c>
      <c r="N227" t="str">
        <f>"C54002ABE"</f>
        <v>C54002ABE</v>
      </c>
      <c r="O227" t="str">
        <f>""</f>
        <v/>
      </c>
      <c r="P227" t="s">
        <v>547</v>
      </c>
      <c r="Q227" t="str">
        <f>""</f>
        <v/>
      </c>
      <c r="R227" t="s">
        <v>557</v>
      </c>
      <c r="S227" t="s">
        <v>551</v>
      </c>
      <c r="T227" s="1" t="s">
        <v>559</v>
      </c>
      <c r="U227">
        <v>277</v>
      </c>
      <c r="V227" t="s">
        <v>547</v>
      </c>
      <c r="W227" t="s">
        <v>514</v>
      </c>
      <c r="X227" t="s">
        <v>224</v>
      </c>
      <c r="Y227" t="s">
        <v>547</v>
      </c>
    </row>
    <row r="228" spans="1:25">
      <c r="A228">
        <v>13527</v>
      </c>
      <c r="B228" t="s">
        <v>25</v>
      </c>
      <c r="C228" t="str">
        <f t="shared" si="6"/>
        <v>INTEGRA Saloon</v>
      </c>
      <c r="D228" t="str">
        <f t="shared" si="7"/>
        <v>1.5</v>
      </c>
      <c r="E228" t="s">
        <v>26</v>
      </c>
      <c r="F228">
        <v>198501</v>
      </c>
      <c r="G228">
        <v>199012</v>
      </c>
      <c r="H228">
        <v>63</v>
      </c>
      <c r="I228">
        <v>85</v>
      </c>
      <c r="J228">
        <v>1488</v>
      </c>
      <c r="K228">
        <v>568766</v>
      </c>
      <c r="L228" t="s">
        <v>560</v>
      </c>
      <c r="M228" t="str">
        <f>"TF450L"</f>
        <v>TF450L</v>
      </c>
      <c r="N228" t="str">
        <f>"TF450L"</f>
        <v>TF450L</v>
      </c>
      <c r="O228" t="str">
        <f>""</f>
        <v/>
      </c>
      <c r="P228" t="s">
        <v>561</v>
      </c>
      <c r="Q228" t="str">
        <f>""</f>
        <v/>
      </c>
      <c r="S228" t="s">
        <v>562</v>
      </c>
      <c r="U228">
        <v>298</v>
      </c>
      <c r="V228" t="s">
        <v>561</v>
      </c>
      <c r="W228" t="s">
        <v>561</v>
      </c>
      <c r="X228" t="s">
        <v>563</v>
      </c>
    </row>
    <row r="229" spans="1:25">
      <c r="A229">
        <v>13527</v>
      </c>
      <c r="B229" t="s">
        <v>25</v>
      </c>
      <c r="C229" t="str">
        <f t="shared" si="6"/>
        <v>INTEGRA Saloon</v>
      </c>
      <c r="D229" t="str">
        <f t="shared" si="7"/>
        <v>1.5</v>
      </c>
      <c r="E229" t="s">
        <v>26</v>
      </c>
      <c r="F229">
        <v>198501</v>
      </c>
      <c r="G229">
        <v>199012</v>
      </c>
      <c r="H229">
        <v>63</v>
      </c>
      <c r="I229">
        <v>85</v>
      </c>
      <c r="J229">
        <v>1488</v>
      </c>
      <c r="K229">
        <v>568767</v>
      </c>
      <c r="L229" t="s">
        <v>560</v>
      </c>
      <c r="M229" t="str">
        <f>"TF450R"</f>
        <v>TF450R</v>
      </c>
      <c r="N229" t="str">
        <f>"TF450R"</f>
        <v>TF450R</v>
      </c>
      <c r="O229" t="str">
        <f>""</f>
        <v/>
      </c>
      <c r="P229" t="s">
        <v>561</v>
      </c>
      <c r="Q229" t="str">
        <f>""</f>
        <v/>
      </c>
      <c r="S229" t="s">
        <v>564</v>
      </c>
      <c r="U229">
        <v>298</v>
      </c>
      <c r="V229" t="s">
        <v>561</v>
      </c>
      <c r="W229" t="s">
        <v>561</v>
      </c>
      <c r="X229" t="s">
        <v>563</v>
      </c>
    </row>
    <row r="230" spans="1:25">
      <c r="A230">
        <v>13527</v>
      </c>
      <c r="B230" t="s">
        <v>25</v>
      </c>
      <c r="C230" t="str">
        <f t="shared" si="6"/>
        <v>INTEGRA Saloon</v>
      </c>
      <c r="D230" t="str">
        <f t="shared" si="7"/>
        <v>1.5</v>
      </c>
      <c r="E230" t="s">
        <v>26</v>
      </c>
      <c r="F230">
        <v>198501</v>
      </c>
      <c r="G230">
        <v>199012</v>
      </c>
      <c r="H230">
        <v>63</v>
      </c>
      <c r="I230">
        <v>85</v>
      </c>
      <c r="J230">
        <v>1488</v>
      </c>
      <c r="K230">
        <v>952409</v>
      </c>
      <c r="L230" t="s">
        <v>218</v>
      </c>
      <c r="M230" t="str">
        <f>"PR45"</f>
        <v>PR45</v>
      </c>
      <c r="N230" t="str">
        <f>"PR-45"</f>
        <v>PR-45</v>
      </c>
      <c r="O230" t="str">
        <f>""</f>
        <v/>
      </c>
      <c r="P230" t="s">
        <v>561</v>
      </c>
      <c r="Q230" t="str">
        <f>""</f>
        <v/>
      </c>
      <c r="R230" t="s">
        <v>565</v>
      </c>
      <c r="S230" t="s">
        <v>566</v>
      </c>
      <c r="T230" s="1" t="s">
        <v>567</v>
      </c>
      <c r="U230">
        <v>298</v>
      </c>
      <c r="V230" t="s">
        <v>561</v>
      </c>
      <c r="W230" t="s">
        <v>561</v>
      </c>
      <c r="X230" t="s">
        <v>563</v>
      </c>
    </row>
    <row r="231" spans="1:25">
      <c r="A231">
        <v>13527</v>
      </c>
      <c r="B231" t="s">
        <v>25</v>
      </c>
      <c r="C231" t="str">
        <f t="shared" si="6"/>
        <v>INTEGRA Saloon</v>
      </c>
      <c r="D231" t="str">
        <f t="shared" si="7"/>
        <v>1.5</v>
      </c>
      <c r="E231" t="s">
        <v>26</v>
      </c>
      <c r="F231">
        <v>198501</v>
      </c>
      <c r="G231">
        <v>199012</v>
      </c>
      <c r="H231">
        <v>63</v>
      </c>
      <c r="I231">
        <v>85</v>
      </c>
      <c r="J231">
        <v>1488</v>
      </c>
      <c r="K231">
        <v>952410</v>
      </c>
      <c r="L231" t="s">
        <v>218</v>
      </c>
      <c r="M231" t="str">
        <f>"PR45F"</f>
        <v>PR45F</v>
      </c>
      <c r="N231" t="str">
        <f>"PR-45F"</f>
        <v>PR-45F</v>
      </c>
      <c r="O231" t="str">
        <f>""</f>
        <v/>
      </c>
      <c r="P231" t="s">
        <v>561</v>
      </c>
      <c r="Q231" t="str">
        <f>""</f>
        <v/>
      </c>
      <c r="R231" t="s">
        <v>565</v>
      </c>
      <c r="S231" t="s">
        <v>568</v>
      </c>
      <c r="T231" s="1" t="s">
        <v>569</v>
      </c>
      <c r="U231">
        <v>298</v>
      </c>
      <c r="V231" t="s">
        <v>561</v>
      </c>
      <c r="W231" t="s">
        <v>561</v>
      </c>
      <c r="X231" t="s">
        <v>563</v>
      </c>
    </row>
    <row r="232" spans="1:25">
      <c r="A232">
        <v>13527</v>
      </c>
      <c r="B232" t="s">
        <v>25</v>
      </c>
      <c r="C232" t="str">
        <f t="shared" si="6"/>
        <v>INTEGRA Saloon</v>
      </c>
      <c r="D232" t="str">
        <f t="shared" si="7"/>
        <v>1.5</v>
      </c>
      <c r="E232" t="s">
        <v>26</v>
      </c>
      <c r="F232">
        <v>198501</v>
      </c>
      <c r="G232">
        <v>199012</v>
      </c>
      <c r="H232">
        <v>63</v>
      </c>
      <c r="I232">
        <v>85</v>
      </c>
      <c r="J232">
        <v>1488</v>
      </c>
      <c r="K232">
        <v>952411</v>
      </c>
      <c r="L232" t="s">
        <v>218</v>
      </c>
      <c r="M232" t="str">
        <f>"PR45H"</f>
        <v>PR45H</v>
      </c>
      <c r="N232" t="str">
        <f>"PR-45H"</f>
        <v>PR-45H</v>
      </c>
      <c r="O232" t="str">
        <f>""</f>
        <v/>
      </c>
      <c r="P232" t="s">
        <v>561</v>
      </c>
      <c r="Q232" t="str">
        <f>""</f>
        <v/>
      </c>
      <c r="S232" t="s">
        <v>568</v>
      </c>
      <c r="U232">
        <v>298</v>
      </c>
      <c r="V232" t="s">
        <v>561</v>
      </c>
      <c r="W232" t="s">
        <v>561</v>
      </c>
      <c r="X232" t="s">
        <v>563</v>
      </c>
    </row>
    <row r="233" spans="1:25">
      <c r="A233">
        <v>13527</v>
      </c>
      <c r="B233" t="s">
        <v>25</v>
      </c>
      <c r="C233" t="str">
        <f t="shared" si="6"/>
        <v>INTEGRA Saloon</v>
      </c>
      <c r="D233" t="str">
        <f t="shared" si="7"/>
        <v>1.5</v>
      </c>
      <c r="E233" t="s">
        <v>26</v>
      </c>
      <c r="F233">
        <v>198501</v>
      </c>
      <c r="G233">
        <v>199012</v>
      </c>
      <c r="H233">
        <v>63</v>
      </c>
      <c r="I233">
        <v>85</v>
      </c>
      <c r="J233">
        <v>1488</v>
      </c>
      <c r="K233">
        <v>2928185</v>
      </c>
      <c r="L233" t="s">
        <v>560</v>
      </c>
      <c r="M233" t="str">
        <f>"35180"</f>
        <v>35180</v>
      </c>
      <c r="N233" t="str">
        <f>"35-180"</f>
        <v>35-180</v>
      </c>
      <c r="O233" t="str">
        <f>""</f>
        <v/>
      </c>
      <c r="P233" t="s">
        <v>561</v>
      </c>
      <c r="Q233" t="str">
        <f>""</f>
        <v/>
      </c>
      <c r="R233" t="s">
        <v>565</v>
      </c>
      <c r="S233" t="s">
        <v>566</v>
      </c>
      <c r="T233" s="1" t="s">
        <v>570</v>
      </c>
      <c r="U233">
        <v>298</v>
      </c>
      <c r="V233" t="s">
        <v>561</v>
      </c>
      <c r="W233" t="s">
        <v>561</v>
      </c>
      <c r="X233" t="s">
        <v>563</v>
      </c>
    </row>
    <row r="234" spans="1:25">
      <c r="A234">
        <v>13527</v>
      </c>
      <c r="B234" t="s">
        <v>25</v>
      </c>
      <c r="C234" t="str">
        <f t="shared" si="6"/>
        <v>INTEGRA Saloon</v>
      </c>
      <c r="D234" t="str">
        <f t="shared" si="7"/>
        <v>1.5</v>
      </c>
      <c r="E234" t="s">
        <v>26</v>
      </c>
      <c r="F234">
        <v>198501</v>
      </c>
      <c r="G234">
        <v>199012</v>
      </c>
      <c r="H234">
        <v>63</v>
      </c>
      <c r="I234">
        <v>85</v>
      </c>
      <c r="J234">
        <v>1488</v>
      </c>
      <c r="K234">
        <v>2928202</v>
      </c>
      <c r="L234" t="s">
        <v>560</v>
      </c>
      <c r="M234" t="str">
        <f>"EF450"</f>
        <v>EF450</v>
      </c>
      <c r="N234" t="str">
        <f>"EF450"</f>
        <v>EF450</v>
      </c>
      <c r="O234" t="str">
        <f>""</f>
        <v/>
      </c>
      <c r="P234" t="s">
        <v>561</v>
      </c>
      <c r="Q234" t="str">
        <f>""</f>
        <v/>
      </c>
      <c r="R234" t="s">
        <v>565</v>
      </c>
      <c r="S234" t="s">
        <v>568</v>
      </c>
      <c r="T234" s="1" t="s">
        <v>571</v>
      </c>
      <c r="U234">
        <v>298</v>
      </c>
      <c r="V234" t="s">
        <v>561</v>
      </c>
      <c r="W234" t="s">
        <v>561</v>
      </c>
      <c r="X234" t="s">
        <v>563</v>
      </c>
    </row>
    <row r="235" spans="1:25">
      <c r="A235">
        <v>13527</v>
      </c>
      <c r="B235" t="s">
        <v>25</v>
      </c>
      <c r="C235" t="str">
        <f t="shared" si="6"/>
        <v>INTEGRA Saloon</v>
      </c>
      <c r="D235" t="str">
        <f t="shared" si="7"/>
        <v>1.5</v>
      </c>
      <c r="E235" t="s">
        <v>26</v>
      </c>
      <c r="F235">
        <v>198501</v>
      </c>
      <c r="G235">
        <v>199012</v>
      </c>
      <c r="H235">
        <v>63</v>
      </c>
      <c r="I235">
        <v>85</v>
      </c>
      <c r="J235">
        <v>1488</v>
      </c>
      <c r="K235">
        <v>2928348</v>
      </c>
      <c r="L235" t="s">
        <v>560</v>
      </c>
      <c r="M235" t="str">
        <f>"FX450"</f>
        <v>FX450</v>
      </c>
      <c r="N235" t="str">
        <f>"FX450"</f>
        <v>FX450</v>
      </c>
      <c r="O235" t="str">
        <f>""</f>
        <v/>
      </c>
      <c r="P235" t="s">
        <v>561</v>
      </c>
      <c r="Q235" t="str">
        <f>""</f>
        <v/>
      </c>
      <c r="R235" t="s">
        <v>565</v>
      </c>
      <c r="S235" t="s">
        <v>572</v>
      </c>
      <c r="T235" s="1" t="s">
        <v>573</v>
      </c>
      <c r="U235">
        <v>298</v>
      </c>
      <c r="V235" t="s">
        <v>561</v>
      </c>
      <c r="W235" t="s">
        <v>561</v>
      </c>
      <c r="X235" t="s">
        <v>563</v>
      </c>
    </row>
    <row r="236" spans="1:25">
      <c r="A236">
        <v>13527</v>
      </c>
      <c r="B236" t="s">
        <v>25</v>
      </c>
      <c r="C236" t="str">
        <f t="shared" si="6"/>
        <v>INTEGRA Saloon</v>
      </c>
      <c r="D236" t="str">
        <f t="shared" si="7"/>
        <v>1.5</v>
      </c>
      <c r="E236" t="s">
        <v>26</v>
      </c>
      <c r="F236">
        <v>198501</v>
      </c>
      <c r="G236">
        <v>199012</v>
      </c>
      <c r="H236">
        <v>63</v>
      </c>
      <c r="I236">
        <v>85</v>
      </c>
      <c r="J236">
        <v>1488</v>
      </c>
      <c r="K236">
        <v>2928366</v>
      </c>
      <c r="L236" t="s">
        <v>560</v>
      </c>
      <c r="M236" t="str">
        <f>"NF450"</f>
        <v>NF450</v>
      </c>
      <c r="N236" t="str">
        <f>"NF450"</f>
        <v>NF450</v>
      </c>
      <c r="O236" t="str">
        <f>""</f>
        <v/>
      </c>
      <c r="P236" t="s">
        <v>561</v>
      </c>
      <c r="Q236" t="str">
        <f>""</f>
        <v/>
      </c>
      <c r="R236" t="s">
        <v>565</v>
      </c>
      <c r="S236" t="s">
        <v>566</v>
      </c>
      <c r="T236" t="s">
        <v>574</v>
      </c>
      <c r="U236">
        <v>298</v>
      </c>
      <c r="V236" t="s">
        <v>561</v>
      </c>
      <c r="W236" t="s">
        <v>561</v>
      </c>
      <c r="X236" t="s">
        <v>563</v>
      </c>
    </row>
    <row r="237" spans="1:25">
      <c r="A237">
        <v>13527</v>
      </c>
      <c r="B237" t="s">
        <v>25</v>
      </c>
      <c r="C237" t="str">
        <f t="shared" si="6"/>
        <v>INTEGRA Saloon</v>
      </c>
      <c r="D237" t="str">
        <f t="shared" si="7"/>
        <v>1.5</v>
      </c>
      <c r="E237" t="s">
        <v>26</v>
      </c>
      <c r="F237">
        <v>198501</v>
      </c>
      <c r="G237">
        <v>199012</v>
      </c>
      <c r="H237">
        <v>63</v>
      </c>
      <c r="I237">
        <v>85</v>
      </c>
      <c r="J237">
        <v>1488</v>
      </c>
      <c r="K237">
        <v>2928421</v>
      </c>
      <c r="L237" t="s">
        <v>560</v>
      </c>
      <c r="M237" t="str">
        <f>"T450"</f>
        <v>T450</v>
      </c>
      <c r="N237" t="str">
        <f>"T450"</f>
        <v>T450</v>
      </c>
      <c r="O237" t="str">
        <f>""</f>
        <v/>
      </c>
      <c r="P237" t="s">
        <v>561</v>
      </c>
      <c r="Q237" t="str">
        <f>""</f>
        <v/>
      </c>
      <c r="R237" t="s">
        <v>565</v>
      </c>
      <c r="S237" t="s">
        <v>568</v>
      </c>
      <c r="T237" s="1" t="s">
        <v>575</v>
      </c>
      <c r="U237">
        <v>298</v>
      </c>
      <c r="V237" t="s">
        <v>561</v>
      </c>
      <c r="W237" t="s">
        <v>561</v>
      </c>
      <c r="X237" t="s">
        <v>563</v>
      </c>
    </row>
    <row r="238" spans="1:25">
      <c r="A238">
        <v>13527</v>
      </c>
      <c r="B238" t="s">
        <v>25</v>
      </c>
      <c r="C238" t="str">
        <f t="shared" si="6"/>
        <v>INTEGRA Saloon</v>
      </c>
      <c r="D238" t="str">
        <f t="shared" si="7"/>
        <v>1.5</v>
      </c>
      <c r="E238" t="s">
        <v>26</v>
      </c>
      <c r="F238">
        <v>198501</v>
      </c>
      <c r="G238">
        <v>199012</v>
      </c>
      <c r="H238">
        <v>63</v>
      </c>
      <c r="I238">
        <v>85</v>
      </c>
      <c r="J238">
        <v>1488</v>
      </c>
      <c r="K238">
        <v>2928443</v>
      </c>
      <c r="L238" t="s">
        <v>560</v>
      </c>
      <c r="M238" t="str">
        <f>"TT450"</f>
        <v>TT450</v>
      </c>
      <c r="N238" t="str">
        <f>"TT450"</f>
        <v>TT450</v>
      </c>
      <c r="O238" t="str">
        <f>""</f>
        <v/>
      </c>
      <c r="P238" t="s">
        <v>561</v>
      </c>
      <c r="Q238" t="str">
        <f>""</f>
        <v/>
      </c>
      <c r="R238" t="s">
        <v>565</v>
      </c>
      <c r="S238" t="s">
        <v>566</v>
      </c>
      <c r="T238" t="s">
        <v>576</v>
      </c>
      <c r="U238">
        <v>298</v>
      </c>
      <c r="V238" t="s">
        <v>561</v>
      </c>
      <c r="W238" t="s">
        <v>561</v>
      </c>
      <c r="X238" t="s">
        <v>563</v>
      </c>
    </row>
    <row r="239" spans="1:25">
      <c r="A239">
        <v>13527</v>
      </c>
      <c r="B239" t="s">
        <v>25</v>
      </c>
      <c r="C239" t="str">
        <f t="shared" si="6"/>
        <v>INTEGRA Saloon</v>
      </c>
      <c r="D239" t="str">
        <f t="shared" si="7"/>
        <v>1.5</v>
      </c>
      <c r="E239" t="s">
        <v>26</v>
      </c>
      <c r="F239">
        <v>198501</v>
      </c>
      <c r="G239">
        <v>199012</v>
      </c>
      <c r="H239">
        <v>63</v>
      </c>
      <c r="I239">
        <v>85</v>
      </c>
      <c r="J239">
        <v>1488</v>
      </c>
      <c r="K239">
        <v>3041324</v>
      </c>
      <c r="L239" t="s">
        <v>33</v>
      </c>
      <c r="M239" t="str">
        <f>"UB450"</f>
        <v>UB450</v>
      </c>
      <c r="N239" t="str">
        <f>"UB450"</f>
        <v>UB450</v>
      </c>
      <c r="O239" t="str">
        <f>""</f>
        <v/>
      </c>
      <c r="P239" t="s">
        <v>561</v>
      </c>
      <c r="Q239" t="str">
        <f>"8711768154219"</f>
        <v>8711768154219</v>
      </c>
      <c r="S239" t="s">
        <v>577</v>
      </c>
      <c r="U239">
        <v>298</v>
      </c>
      <c r="V239" t="s">
        <v>561</v>
      </c>
      <c r="W239" t="s">
        <v>561</v>
      </c>
      <c r="X239" t="s">
        <v>563</v>
      </c>
    </row>
    <row r="240" spans="1:25">
      <c r="A240">
        <v>13527</v>
      </c>
      <c r="B240" t="s">
        <v>25</v>
      </c>
      <c r="C240" t="str">
        <f t="shared" si="6"/>
        <v>INTEGRA Saloon</v>
      </c>
      <c r="D240" t="str">
        <f t="shared" si="7"/>
        <v>1.5</v>
      </c>
      <c r="E240" t="s">
        <v>26</v>
      </c>
      <c r="F240">
        <v>198501</v>
      </c>
      <c r="G240">
        <v>199012</v>
      </c>
      <c r="H240">
        <v>63</v>
      </c>
      <c r="I240">
        <v>85</v>
      </c>
      <c r="J240">
        <v>1488</v>
      </c>
      <c r="K240">
        <v>3841536</v>
      </c>
      <c r="L240" t="s">
        <v>419</v>
      </c>
      <c r="M240" t="str">
        <f>"CRF45L"</f>
        <v>CRF45L</v>
      </c>
      <c r="N240" t="str">
        <f>"CRF45L"</f>
        <v>CRF45L</v>
      </c>
      <c r="O240" t="str">
        <f>""</f>
        <v/>
      </c>
      <c r="P240" t="s">
        <v>561</v>
      </c>
      <c r="Q240" t="str">
        <f>""</f>
        <v/>
      </c>
      <c r="R240" t="s">
        <v>578</v>
      </c>
      <c r="S240" t="s">
        <v>579</v>
      </c>
      <c r="T240" t="s">
        <v>580</v>
      </c>
      <c r="U240">
        <v>298</v>
      </c>
      <c r="V240" t="s">
        <v>561</v>
      </c>
      <c r="W240" t="s">
        <v>561</v>
      </c>
      <c r="X240" t="s">
        <v>563</v>
      </c>
    </row>
    <row r="241" spans="1:25">
      <c r="A241">
        <v>13527</v>
      </c>
      <c r="B241" t="s">
        <v>25</v>
      </c>
      <c r="C241" t="str">
        <f t="shared" si="6"/>
        <v>INTEGRA Saloon</v>
      </c>
      <c r="D241" t="str">
        <f t="shared" si="7"/>
        <v>1.5</v>
      </c>
      <c r="E241" t="s">
        <v>26</v>
      </c>
      <c r="F241">
        <v>198501</v>
      </c>
      <c r="G241">
        <v>199012</v>
      </c>
      <c r="H241">
        <v>63</v>
      </c>
      <c r="I241">
        <v>85</v>
      </c>
      <c r="J241">
        <v>1488</v>
      </c>
      <c r="K241">
        <v>3841537</v>
      </c>
      <c r="L241" t="s">
        <v>419</v>
      </c>
      <c r="M241" t="str">
        <f>"CRF45R"</f>
        <v>CRF45R</v>
      </c>
      <c r="N241" t="str">
        <f>"CRF45R"</f>
        <v>CRF45R</v>
      </c>
      <c r="O241" t="str">
        <f>""</f>
        <v/>
      </c>
      <c r="P241" t="s">
        <v>561</v>
      </c>
      <c r="Q241" t="str">
        <f>""</f>
        <v/>
      </c>
      <c r="S241" t="s">
        <v>581</v>
      </c>
      <c r="U241">
        <v>298</v>
      </c>
      <c r="V241" t="s">
        <v>561</v>
      </c>
      <c r="W241" t="s">
        <v>561</v>
      </c>
      <c r="X241" t="s">
        <v>563</v>
      </c>
    </row>
    <row r="242" spans="1:25">
      <c r="A242">
        <v>13527</v>
      </c>
      <c r="B242" t="s">
        <v>25</v>
      </c>
      <c r="C242" t="str">
        <f t="shared" si="6"/>
        <v>INTEGRA Saloon</v>
      </c>
      <c r="D242" t="str">
        <f t="shared" si="7"/>
        <v>1.5</v>
      </c>
      <c r="E242" t="s">
        <v>26</v>
      </c>
      <c r="F242">
        <v>198501</v>
      </c>
      <c r="G242">
        <v>199012</v>
      </c>
      <c r="H242">
        <v>63</v>
      </c>
      <c r="I242">
        <v>85</v>
      </c>
      <c r="J242">
        <v>1488</v>
      </c>
      <c r="K242">
        <v>3842530</v>
      </c>
      <c r="L242" t="s">
        <v>419</v>
      </c>
      <c r="M242" t="str">
        <f>"CW45"</f>
        <v>CW45</v>
      </c>
      <c r="N242" t="str">
        <f>"CW45"</f>
        <v>CW45</v>
      </c>
      <c r="O242" t="str">
        <f>""</f>
        <v/>
      </c>
      <c r="P242" t="s">
        <v>561</v>
      </c>
      <c r="Q242" t="str">
        <f>""</f>
        <v/>
      </c>
      <c r="R242" t="s">
        <v>578</v>
      </c>
      <c r="S242" t="s">
        <v>581</v>
      </c>
      <c r="T242" t="s">
        <v>582</v>
      </c>
      <c r="U242">
        <v>298</v>
      </c>
      <c r="V242" t="s">
        <v>561</v>
      </c>
      <c r="W242" t="s">
        <v>561</v>
      </c>
      <c r="X242" t="s">
        <v>563</v>
      </c>
    </row>
    <row r="243" spans="1:25">
      <c r="A243">
        <v>13527</v>
      </c>
      <c r="B243" t="s">
        <v>25</v>
      </c>
      <c r="C243" t="str">
        <f t="shared" si="6"/>
        <v>INTEGRA Saloon</v>
      </c>
      <c r="D243" t="str">
        <f t="shared" si="7"/>
        <v>1.5</v>
      </c>
      <c r="E243" t="s">
        <v>26</v>
      </c>
      <c r="F243">
        <v>198501</v>
      </c>
      <c r="G243">
        <v>199012</v>
      </c>
      <c r="H243">
        <v>63</v>
      </c>
      <c r="I243">
        <v>85</v>
      </c>
      <c r="J243">
        <v>1488</v>
      </c>
      <c r="K243">
        <v>3975534</v>
      </c>
      <c r="L243" t="s">
        <v>27</v>
      </c>
      <c r="M243" t="str">
        <f>"WA018"</f>
        <v>WA018</v>
      </c>
      <c r="N243" t="str">
        <f>"WA018"</f>
        <v>WA018</v>
      </c>
      <c r="O243" t="str">
        <f>""</f>
        <v/>
      </c>
      <c r="P243" t="s">
        <v>561</v>
      </c>
      <c r="Q243" t="str">
        <f>"8718993423387"</f>
        <v>8718993423387</v>
      </c>
      <c r="R243" t="s">
        <v>583</v>
      </c>
      <c r="T243" s="1" t="s">
        <v>584</v>
      </c>
      <c r="U243">
        <v>298</v>
      </c>
      <c r="V243" t="s">
        <v>561</v>
      </c>
      <c r="W243" t="s">
        <v>561</v>
      </c>
      <c r="X243" t="s">
        <v>563</v>
      </c>
    </row>
    <row r="244" spans="1:25">
      <c r="A244">
        <v>13527</v>
      </c>
      <c r="B244" t="s">
        <v>25</v>
      </c>
      <c r="C244" t="str">
        <f t="shared" si="6"/>
        <v>INTEGRA Saloon</v>
      </c>
      <c r="D244" t="str">
        <f t="shared" si="7"/>
        <v>1.5</v>
      </c>
      <c r="E244" t="s">
        <v>26</v>
      </c>
      <c r="F244">
        <v>198501</v>
      </c>
      <c r="G244">
        <v>199012</v>
      </c>
      <c r="H244">
        <v>63</v>
      </c>
      <c r="I244">
        <v>85</v>
      </c>
      <c r="J244">
        <v>1488</v>
      </c>
      <c r="K244">
        <v>3975566</v>
      </c>
      <c r="L244" t="s">
        <v>27</v>
      </c>
      <c r="M244" t="str">
        <f>"WAF18"</f>
        <v>WAF18</v>
      </c>
      <c r="N244" t="str">
        <f>"WAF18"</f>
        <v>WAF18</v>
      </c>
      <c r="O244" t="str">
        <f>""</f>
        <v/>
      </c>
      <c r="P244" t="s">
        <v>561</v>
      </c>
      <c r="Q244" t="str">
        <f>"8718993424087"</f>
        <v>8718993424087</v>
      </c>
      <c r="R244" t="s">
        <v>585</v>
      </c>
      <c r="T244" t="s">
        <v>586</v>
      </c>
      <c r="U244">
        <v>298</v>
      </c>
      <c r="V244" t="s">
        <v>561</v>
      </c>
      <c r="W244" t="s">
        <v>561</v>
      </c>
      <c r="X244" t="s">
        <v>563</v>
      </c>
    </row>
    <row r="245" spans="1:25">
      <c r="A245">
        <v>13527</v>
      </c>
      <c r="B245" t="s">
        <v>25</v>
      </c>
      <c r="C245" t="str">
        <f t="shared" si="6"/>
        <v>INTEGRA Saloon</v>
      </c>
      <c r="D245" t="str">
        <f t="shared" si="7"/>
        <v>1.5</v>
      </c>
      <c r="E245" t="s">
        <v>26</v>
      </c>
      <c r="F245">
        <v>198501</v>
      </c>
      <c r="G245">
        <v>199012</v>
      </c>
      <c r="H245">
        <v>63</v>
      </c>
      <c r="I245">
        <v>85</v>
      </c>
      <c r="J245">
        <v>1488</v>
      </c>
      <c r="K245">
        <v>4415614</v>
      </c>
      <c r="L245" t="s">
        <v>193</v>
      </c>
      <c r="M245" t="str">
        <f>"450L"</f>
        <v>450L</v>
      </c>
      <c r="N245" t="str">
        <f>"450L"</f>
        <v>450L</v>
      </c>
      <c r="O245" t="str">
        <f>""</f>
        <v/>
      </c>
      <c r="P245" t="s">
        <v>561</v>
      </c>
      <c r="Q245" t="str">
        <f>"4905601036877"</f>
        <v>4905601036877</v>
      </c>
      <c r="R245" t="s">
        <v>587</v>
      </c>
      <c r="S245" t="s">
        <v>568</v>
      </c>
      <c r="T245" s="1" t="s">
        <v>588</v>
      </c>
      <c r="U245">
        <v>298</v>
      </c>
      <c r="V245" t="s">
        <v>561</v>
      </c>
      <c r="W245" t="s">
        <v>561</v>
      </c>
      <c r="X245" t="s">
        <v>563</v>
      </c>
    </row>
    <row r="246" spans="1:25">
      <c r="A246">
        <v>13527</v>
      </c>
      <c r="B246" t="s">
        <v>25</v>
      </c>
      <c r="C246" t="str">
        <f t="shared" si="6"/>
        <v>INTEGRA Saloon</v>
      </c>
      <c r="D246" t="str">
        <f t="shared" si="7"/>
        <v>1.5</v>
      </c>
      <c r="E246" t="s">
        <v>26</v>
      </c>
      <c r="F246">
        <v>198501</v>
      </c>
      <c r="G246">
        <v>199012</v>
      </c>
      <c r="H246">
        <v>63</v>
      </c>
      <c r="I246">
        <v>85</v>
      </c>
      <c r="J246">
        <v>1488</v>
      </c>
      <c r="K246">
        <v>4427290</v>
      </c>
      <c r="L246" t="s">
        <v>193</v>
      </c>
      <c r="M246" t="str">
        <f>"LW450"</f>
        <v>LW450</v>
      </c>
      <c r="N246" t="str">
        <f>"LW450"</f>
        <v>LW450</v>
      </c>
      <c r="O246" t="str">
        <f>""</f>
        <v/>
      </c>
      <c r="P246" t="s">
        <v>561</v>
      </c>
      <c r="Q246" t="str">
        <f>"4905601012956"</f>
        <v>4905601012956</v>
      </c>
      <c r="R246" t="s">
        <v>589</v>
      </c>
      <c r="S246" t="s">
        <v>568</v>
      </c>
      <c r="T246" s="1" t="s">
        <v>588</v>
      </c>
      <c r="U246">
        <v>298</v>
      </c>
      <c r="V246" t="s">
        <v>561</v>
      </c>
      <c r="W246" t="s">
        <v>561</v>
      </c>
      <c r="X246" t="s">
        <v>563</v>
      </c>
    </row>
    <row r="247" spans="1:25">
      <c r="A247">
        <v>13527</v>
      </c>
      <c r="B247" t="s">
        <v>25</v>
      </c>
      <c r="C247" t="str">
        <f t="shared" si="6"/>
        <v>INTEGRA Saloon</v>
      </c>
      <c r="D247" t="str">
        <f t="shared" si="7"/>
        <v>1.5</v>
      </c>
      <c r="E247" t="s">
        <v>26</v>
      </c>
      <c r="F247">
        <v>198501</v>
      </c>
      <c r="G247">
        <v>199012</v>
      </c>
      <c r="H247">
        <v>63</v>
      </c>
      <c r="I247">
        <v>85</v>
      </c>
      <c r="J247">
        <v>1488</v>
      </c>
      <c r="K247">
        <v>4427301</v>
      </c>
      <c r="L247" t="s">
        <v>193</v>
      </c>
      <c r="M247" t="str">
        <f>"LX450"</f>
        <v>LX450</v>
      </c>
      <c r="N247" t="str">
        <f>"LX450"</f>
        <v>LX450</v>
      </c>
      <c r="O247" t="str">
        <f>""</f>
        <v/>
      </c>
      <c r="P247" t="s">
        <v>561</v>
      </c>
      <c r="Q247" t="str">
        <f>"4905601059296"</f>
        <v>4905601059296</v>
      </c>
      <c r="R247" t="s">
        <v>589</v>
      </c>
      <c r="S247" t="s">
        <v>568</v>
      </c>
      <c r="T247" s="1" t="s">
        <v>590</v>
      </c>
      <c r="U247">
        <v>298</v>
      </c>
      <c r="V247" t="s">
        <v>561</v>
      </c>
      <c r="W247" t="s">
        <v>561</v>
      </c>
      <c r="X247" t="s">
        <v>563</v>
      </c>
    </row>
    <row r="248" spans="1:25">
      <c r="A248">
        <v>13527</v>
      </c>
      <c r="B248" t="s">
        <v>25</v>
      </c>
      <c r="C248" t="str">
        <f t="shared" si="6"/>
        <v>INTEGRA Saloon</v>
      </c>
      <c r="D248" t="str">
        <f t="shared" si="7"/>
        <v>1.5</v>
      </c>
      <c r="E248" t="s">
        <v>26</v>
      </c>
      <c r="F248">
        <v>198501</v>
      </c>
      <c r="G248">
        <v>199012</v>
      </c>
      <c r="H248">
        <v>63</v>
      </c>
      <c r="I248">
        <v>85</v>
      </c>
      <c r="J248">
        <v>1488</v>
      </c>
      <c r="K248">
        <v>4431507</v>
      </c>
      <c r="L248" t="s">
        <v>193</v>
      </c>
      <c r="M248" t="str">
        <f>"XF450"</f>
        <v>XF450</v>
      </c>
      <c r="N248" t="str">
        <f>"XF450"</f>
        <v>XF450</v>
      </c>
      <c r="O248" t="str">
        <f>""</f>
        <v/>
      </c>
      <c r="P248" t="s">
        <v>561</v>
      </c>
      <c r="Q248" t="str">
        <f>"4905601032411"</f>
        <v>4905601032411</v>
      </c>
      <c r="R248" t="s">
        <v>591</v>
      </c>
      <c r="S248" t="s">
        <v>566</v>
      </c>
      <c r="T248" s="1" t="s">
        <v>592</v>
      </c>
      <c r="U248">
        <v>298</v>
      </c>
      <c r="V248" t="s">
        <v>561</v>
      </c>
      <c r="W248" t="s">
        <v>561</v>
      </c>
      <c r="X248" t="s">
        <v>563</v>
      </c>
    </row>
    <row r="249" spans="1:25">
      <c r="A249">
        <v>13527</v>
      </c>
      <c r="B249" t="s">
        <v>25</v>
      </c>
      <c r="C249" t="str">
        <f t="shared" si="6"/>
        <v>INTEGRA Saloon</v>
      </c>
      <c r="D249" t="str">
        <f t="shared" si="7"/>
        <v>1.5</v>
      </c>
      <c r="E249" t="s">
        <v>26</v>
      </c>
      <c r="F249">
        <v>198501</v>
      </c>
      <c r="G249">
        <v>199012</v>
      </c>
      <c r="H249">
        <v>63</v>
      </c>
      <c r="I249">
        <v>85</v>
      </c>
      <c r="J249">
        <v>1488</v>
      </c>
      <c r="K249">
        <v>3024848</v>
      </c>
      <c r="L249" t="s">
        <v>33</v>
      </c>
      <c r="M249" t="str">
        <f>"J1030735"</f>
        <v>J1030735</v>
      </c>
      <c r="N249" t="str">
        <f>"J1030735"</f>
        <v>J1030735</v>
      </c>
      <c r="O249" t="str">
        <f>""</f>
        <v/>
      </c>
      <c r="P249" t="s">
        <v>593</v>
      </c>
      <c r="Q249" t="str">
        <f>"8711768022495"</f>
        <v>8711768022495</v>
      </c>
      <c r="R249" t="s">
        <v>594</v>
      </c>
      <c r="S249" t="s">
        <v>595</v>
      </c>
      <c r="T249" s="1" t="s">
        <v>596</v>
      </c>
      <c r="U249">
        <v>305</v>
      </c>
      <c r="V249" t="s">
        <v>593</v>
      </c>
      <c r="W249" t="s">
        <v>177</v>
      </c>
      <c r="X249" t="s">
        <v>178</v>
      </c>
      <c r="Y249" t="s">
        <v>597</v>
      </c>
    </row>
    <row r="250" spans="1:25">
      <c r="A250">
        <v>13527</v>
      </c>
      <c r="B250" t="s">
        <v>25</v>
      </c>
      <c r="C250" t="str">
        <f t="shared" si="6"/>
        <v>INTEGRA Saloon</v>
      </c>
      <c r="D250" t="str">
        <f t="shared" si="7"/>
        <v>1.5</v>
      </c>
      <c r="E250" t="s">
        <v>26</v>
      </c>
      <c r="F250">
        <v>198501</v>
      </c>
      <c r="G250">
        <v>199012</v>
      </c>
      <c r="H250">
        <v>63</v>
      </c>
      <c r="I250">
        <v>85</v>
      </c>
      <c r="J250">
        <v>1488</v>
      </c>
      <c r="K250">
        <v>3975287</v>
      </c>
      <c r="L250" t="s">
        <v>27</v>
      </c>
      <c r="M250" t="str">
        <f>"VM30735"</f>
        <v>VM30735</v>
      </c>
      <c r="N250" t="str">
        <f>"VM3-0735"</f>
        <v>VM3-0735</v>
      </c>
      <c r="O250" t="str">
        <f>""</f>
        <v/>
      </c>
      <c r="P250" t="s">
        <v>593</v>
      </c>
      <c r="Q250" t="str">
        <f>"8718993418956"</f>
        <v>8718993418956</v>
      </c>
      <c r="R250" t="s">
        <v>594</v>
      </c>
      <c r="S250" t="s">
        <v>595</v>
      </c>
      <c r="T250" s="1" t="s">
        <v>598</v>
      </c>
      <c r="U250">
        <v>305</v>
      </c>
      <c r="V250" t="s">
        <v>593</v>
      </c>
      <c r="W250" t="s">
        <v>177</v>
      </c>
      <c r="X250" t="s">
        <v>178</v>
      </c>
      <c r="Y250" t="s">
        <v>597</v>
      </c>
    </row>
    <row r="251" spans="1:25">
      <c r="A251">
        <v>13527</v>
      </c>
      <c r="B251" t="s">
        <v>25</v>
      </c>
      <c r="C251" t="str">
        <f t="shared" si="6"/>
        <v>INTEGRA Saloon</v>
      </c>
      <c r="D251" t="str">
        <f t="shared" si="7"/>
        <v>1.5</v>
      </c>
      <c r="E251" t="s">
        <v>26</v>
      </c>
      <c r="F251">
        <v>198501</v>
      </c>
      <c r="G251">
        <v>199012</v>
      </c>
      <c r="H251">
        <v>63</v>
      </c>
      <c r="I251">
        <v>85</v>
      </c>
      <c r="J251">
        <v>1488</v>
      </c>
      <c r="K251">
        <v>61842</v>
      </c>
      <c r="L251" t="s">
        <v>181</v>
      </c>
      <c r="M251" t="str">
        <f>"86455170XS"</f>
        <v>86455170XS</v>
      </c>
      <c r="N251" t="str">
        <f>"8645 5170xs"</f>
        <v>8645 5170xs</v>
      </c>
      <c r="O251" t="str">
        <f>""</f>
        <v/>
      </c>
      <c r="P251" t="s">
        <v>599</v>
      </c>
      <c r="Q251" t="str">
        <f>""</f>
        <v/>
      </c>
      <c r="S251" t="s">
        <v>600</v>
      </c>
      <c r="U251">
        <v>306</v>
      </c>
      <c r="V251" t="s">
        <v>599</v>
      </c>
      <c r="W251" t="s">
        <v>177</v>
      </c>
      <c r="X251" t="s">
        <v>178</v>
      </c>
      <c r="Y251" t="s">
        <v>599</v>
      </c>
    </row>
    <row r="252" spans="1:25">
      <c r="A252">
        <v>13527</v>
      </c>
      <c r="B252" t="s">
        <v>25</v>
      </c>
      <c r="C252" t="str">
        <f t="shared" si="6"/>
        <v>INTEGRA Saloon</v>
      </c>
      <c r="D252" t="str">
        <f t="shared" si="7"/>
        <v>1.5</v>
      </c>
      <c r="E252" t="s">
        <v>26</v>
      </c>
      <c r="F252">
        <v>198501</v>
      </c>
      <c r="G252">
        <v>199012</v>
      </c>
      <c r="H252">
        <v>63</v>
      </c>
      <c r="I252">
        <v>85</v>
      </c>
      <c r="J252">
        <v>1488</v>
      </c>
      <c r="K252">
        <v>1532733</v>
      </c>
      <c r="L252" t="s">
        <v>173</v>
      </c>
      <c r="M252" t="str">
        <f>"5170XS"</f>
        <v>5170XS</v>
      </c>
      <c r="N252" t="str">
        <f>"5170XS"</f>
        <v>5170XS</v>
      </c>
      <c r="O252" t="str">
        <f>""</f>
        <v/>
      </c>
      <c r="P252" t="s">
        <v>599</v>
      </c>
      <c r="Q252" t="str">
        <f>"5412571005516"</f>
        <v>5412571005516</v>
      </c>
      <c r="R252" t="s">
        <v>601</v>
      </c>
      <c r="S252" t="s">
        <v>600</v>
      </c>
      <c r="T252" s="1" t="s">
        <v>602</v>
      </c>
      <c r="U252">
        <v>306</v>
      </c>
      <c r="V252" t="s">
        <v>599</v>
      </c>
      <c r="W252" t="s">
        <v>177</v>
      </c>
      <c r="X252" t="s">
        <v>178</v>
      </c>
      <c r="Y252" t="s">
        <v>599</v>
      </c>
    </row>
    <row r="253" spans="1:25">
      <c r="A253">
        <v>13527</v>
      </c>
      <c r="B253" t="s">
        <v>25</v>
      </c>
      <c r="C253" t="str">
        <f t="shared" si="6"/>
        <v>INTEGRA Saloon</v>
      </c>
      <c r="D253" t="str">
        <f t="shared" si="7"/>
        <v>1.5</v>
      </c>
      <c r="E253" t="s">
        <v>26</v>
      </c>
      <c r="F253">
        <v>198501</v>
      </c>
      <c r="G253">
        <v>199012</v>
      </c>
      <c r="H253">
        <v>63</v>
      </c>
      <c r="I253">
        <v>85</v>
      </c>
      <c r="J253">
        <v>1488</v>
      </c>
      <c r="K253">
        <v>3025527</v>
      </c>
      <c r="L253" t="s">
        <v>33</v>
      </c>
      <c r="M253" t="str">
        <f>"J1124032"</f>
        <v>J1124032</v>
      </c>
      <c r="N253" t="str">
        <f>"J1124032"</f>
        <v>J1124032</v>
      </c>
      <c r="O253" t="str">
        <f>""</f>
        <v/>
      </c>
      <c r="P253" t="s">
        <v>599</v>
      </c>
      <c r="Q253" t="str">
        <f>"8711768024963"</f>
        <v>8711768024963</v>
      </c>
      <c r="R253" t="s">
        <v>603</v>
      </c>
      <c r="S253" t="s">
        <v>604</v>
      </c>
      <c r="T253" t="s">
        <v>605</v>
      </c>
      <c r="U253">
        <v>306</v>
      </c>
      <c r="V253" t="s">
        <v>599</v>
      </c>
      <c r="W253" t="s">
        <v>177</v>
      </c>
      <c r="X253" t="s">
        <v>178</v>
      </c>
      <c r="Y253" t="s">
        <v>599</v>
      </c>
    </row>
    <row r="254" spans="1:25">
      <c r="A254">
        <v>13527</v>
      </c>
      <c r="B254" t="s">
        <v>25</v>
      </c>
      <c r="C254" t="str">
        <f t="shared" si="6"/>
        <v>INTEGRA Saloon</v>
      </c>
      <c r="D254" t="str">
        <f t="shared" si="7"/>
        <v>1.5</v>
      </c>
      <c r="E254" t="s">
        <v>26</v>
      </c>
      <c r="F254">
        <v>198501</v>
      </c>
      <c r="G254">
        <v>199012</v>
      </c>
      <c r="H254">
        <v>63</v>
      </c>
      <c r="I254">
        <v>85</v>
      </c>
      <c r="J254">
        <v>1488</v>
      </c>
      <c r="K254">
        <v>3963928</v>
      </c>
      <c r="L254" t="s">
        <v>27</v>
      </c>
      <c r="M254" t="str">
        <f>"H10411"</f>
        <v>H10411</v>
      </c>
      <c r="N254" t="str">
        <f>"H104-11"</f>
        <v>H104-11</v>
      </c>
      <c r="O254" t="str">
        <f>""</f>
        <v/>
      </c>
      <c r="P254" t="s">
        <v>599</v>
      </c>
      <c r="Q254" t="str">
        <f>"8718993209967"</f>
        <v>8718993209967</v>
      </c>
      <c r="R254" t="s">
        <v>606</v>
      </c>
      <c r="S254" t="s">
        <v>604</v>
      </c>
      <c r="T254" s="1" t="s">
        <v>607</v>
      </c>
      <c r="U254">
        <v>306</v>
      </c>
      <c r="V254" t="s">
        <v>599</v>
      </c>
      <c r="W254" t="s">
        <v>177</v>
      </c>
      <c r="X254" t="s">
        <v>178</v>
      </c>
      <c r="Y254" t="s">
        <v>599</v>
      </c>
    </row>
    <row r="255" spans="1:25">
      <c r="A255">
        <v>13527</v>
      </c>
      <c r="B255" t="s">
        <v>25</v>
      </c>
      <c r="C255" t="str">
        <f t="shared" si="6"/>
        <v>INTEGRA Saloon</v>
      </c>
      <c r="D255" t="str">
        <f t="shared" si="7"/>
        <v>1.5</v>
      </c>
      <c r="E255" t="s">
        <v>26</v>
      </c>
      <c r="F255">
        <v>198501</v>
      </c>
      <c r="G255">
        <v>199012</v>
      </c>
      <c r="H255">
        <v>63</v>
      </c>
      <c r="I255">
        <v>85</v>
      </c>
      <c r="J255">
        <v>1488</v>
      </c>
      <c r="K255">
        <v>3025278</v>
      </c>
      <c r="L255" t="s">
        <v>33</v>
      </c>
      <c r="M255" t="str">
        <f>"J1114017"</f>
        <v>J1114017</v>
      </c>
      <c r="N255" t="str">
        <f>"J1114017"</f>
        <v>J1114017</v>
      </c>
      <c r="O255" t="str">
        <f>""</f>
        <v/>
      </c>
      <c r="P255" t="s">
        <v>608</v>
      </c>
      <c r="Q255" t="str">
        <f>"8711768023843"</f>
        <v>8711768023843</v>
      </c>
      <c r="S255" t="s">
        <v>600</v>
      </c>
      <c r="T255" t="s">
        <v>609</v>
      </c>
      <c r="U255">
        <v>307</v>
      </c>
      <c r="V255" t="s">
        <v>608</v>
      </c>
      <c r="W255" t="s">
        <v>610</v>
      </c>
      <c r="X255" t="s">
        <v>178</v>
      </c>
      <c r="Y255" t="s">
        <v>599</v>
      </c>
    </row>
    <row r="256" spans="1:25">
      <c r="A256">
        <v>13527</v>
      </c>
      <c r="B256" t="s">
        <v>25</v>
      </c>
      <c r="C256" t="str">
        <f t="shared" si="6"/>
        <v>INTEGRA Saloon</v>
      </c>
      <c r="D256" t="str">
        <f t="shared" si="7"/>
        <v>1.5</v>
      </c>
      <c r="E256" t="s">
        <v>26</v>
      </c>
      <c r="F256">
        <v>198501</v>
      </c>
      <c r="G256">
        <v>199012</v>
      </c>
      <c r="H256">
        <v>63</v>
      </c>
      <c r="I256">
        <v>85</v>
      </c>
      <c r="J256">
        <v>1488</v>
      </c>
      <c r="K256">
        <v>3951809</v>
      </c>
      <c r="L256" t="s">
        <v>27</v>
      </c>
      <c r="M256" t="str">
        <f>"03337104"</f>
        <v>03337104</v>
      </c>
      <c r="N256" t="str">
        <f>"0333-7104"</f>
        <v>0333-7104</v>
      </c>
      <c r="O256" t="str">
        <f>""</f>
        <v/>
      </c>
      <c r="P256" t="s">
        <v>608</v>
      </c>
      <c r="Q256" t="str">
        <f>"8718993002216"</f>
        <v>8718993002216</v>
      </c>
      <c r="S256" t="s">
        <v>600</v>
      </c>
      <c r="T256" t="s">
        <v>611</v>
      </c>
      <c r="U256">
        <v>307</v>
      </c>
      <c r="V256" t="s">
        <v>608</v>
      </c>
      <c r="W256" t="s">
        <v>610</v>
      </c>
      <c r="X256" t="s">
        <v>178</v>
      </c>
      <c r="Y256" t="s">
        <v>599</v>
      </c>
    </row>
    <row r="257" spans="1:25">
      <c r="A257">
        <v>13527</v>
      </c>
      <c r="B257" t="s">
        <v>25</v>
      </c>
      <c r="C257" t="str">
        <f t="shared" si="6"/>
        <v>INTEGRA Saloon</v>
      </c>
      <c r="D257" t="str">
        <f t="shared" si="7"/>
        <v>1.5</v>
      </c>
      <c r="E257" t="s">
        <v>26</v>
      </c>
      <c r="F257">
        <v>198501</v>
      </c>
      <c r="G257">
        <v>199012</v>
      </c>
      <c r="H257">
        <v>63</v>
      </c>
      <c r="I257">
        <v>85</v>
      </c>
      <c r="J257">
        <v>1488</v>
      </c>
      <c r="K257">
        <v>3025838</v>
      </c>
      <c r="L257" t="s">
        <v>33</v>
      </c>
      <c r="M257" t="str">
        <f>"J1144007"</f>
        <v>J1144007</v>
      </c>
      <c r="N257" t="str">
        <f>"J1144007"</f>
        <v>J1144007</v>
      </c>
      <c r="O257" t="str">
        <f>""</f>
        <v/>
      </c>
      <c r="P257" t="s">
        <v>612</v>
      </c>
      <c r="Q257" t="str">
        <f>"8711768026912"</f>
        <v>8711768026912</v>
      </c>
      <c r="S257" t="s">
        <v>613</v>
      </c>
      <c r="T257" s="1" t="s">
        <v>614</v>
      </c>
      <c r="U257">
        <v>308</v>
      </c>
      <c r="V257" t="s">
        <v>612</v>
      </c>
      <c r="W257" t="s">
        <v>615</v>
      </c>
      <c r="X257" t="s">
        <v>178</v>
      </c>
      <c r="Y257" t="s">
        <v>616</v>
      </c>
    </row>
    <row r="258" spans="1:25">
      <c r="A258">
        <v>13527</v>
      </c>
      <c r="B258" t="s">
        <v>25</v>
      </c>
      <c r="C258" t="str">
        <f t="shared" ref="C258:C321" si="8">"INTEGRA Saloon"</f>
        <v>INTEGRA Saloon</v>
      </c>
      <c r="D258" t="str">
        <f t="shared" ref="D258:D321" si="9">"1.5"</f>
        <v>1.5</v>
      </c>
      <c r="E258" t="s">
        <v>26</v>
      </c>
      <c r="F258">
        <v>198501</v>
      </c>
      <c r="G258">
        <v>199012</v>
      </c>
      <c r="H258">
        <v>63</v>
      </c>
      <c r="I258">
        <v>85</v>
      </c>
      <c r="J258">
        <v>1488</v>
      </c>
      <c r="K258">
        <v>3965036</v>
      </c>
      <c r="L258" t="s">
        <v>27</v>
      </c>
      <c r="M258" t="str">
        <f>"H88030"</f>
        <v>H88030</v>
      </c>
      <c r="N258" t="str">
        <f>"H880-30"</f>
        <v>H880-30</v>
      </c>
      <c r="O258" t="str">
        <f>""</f>
        <v/>
      </c>
      <c r="P258" t="s">
        <v>612</v>
      </c>
      <c r="Q258" t="str">
        <f>"8718993222409"</f>
        <v>8718993222409</v>
      </c>
      <c r="R258" t="s">
        <v>617</v>
      </c>
      <c r="S258" t="s">
        <v>618</v>
      </c>
      <c r="T258" s="1" t="s">
        <v>619</v>
      </c>
      <c r="U258">
        <v>308</v>
      </c>
      <c r="V258" t="s">
        <v>612</v>
      </c>
      <c r="W258" t="s">
        <v>615</v>
      </c>
      <c r="X258" t="s">
        <v>178</v>
      </c>
      <c r="Y258" t="s">
        <v>616</v>
      </c>
    </row>
    <row r="259" spans="1:25">
      <c r="A259">
        <v>13527</v>
      </c>
      <c r="B259" t="s">
        <v>25</v>
      </c>
      <c r="C259" t="str">
        <f t="shared" si="8"/>
        <v>INTEGRA Saloon</v>
      </c>
      <c r="D259" t="str">
        <f t="shared" si="9"/>
        <v>1.5</v>
      </c>
      <c r="E259" t="s">
        <v>26</v>
      </c>
      <c r="F259">
        <v>198501</v>
      </c>
      <c r="G259">
        <v>199012</v>
      </c>
      <c r="H259">
        <v>63</v>
      </c>
      <c r="I259">
        <v>85</v>
      </c>
      <c r="J259">
        <v>1488</v>
      </c>
      <c r="K259">
        <v>3965039</v>
      </c>
      <c r="L259" t="s">
        <v>27</v>
      </c>
      <c r="M259" t="str">
        <f>"H88041"</f>
        <v>H88041</v>
      </c>
      <c r="N259" t="str">
        <f>"H880-41"</f>
        <v>H880-41</v>
      </c>
      <c r="O259" t="str">
        <f>""</f>
        <v/>
      </c>
      <c r="P259" t="s">
        <v>612</v>
      </c>
      <c r="Q259" t="str">
        <f>"8718993222430"</f>
        <v>8718993222430</v>
      </c>
      <c r="R259" t="s">
        <v>620</v>
      </c>
      <c r="T259" t="s">
        <v>621</v>
      </c>
      <c r="U259">
        <v>308</v>
      </c>
      <c r="V259" t="s">
        <v>612</v>
      </c>
      <c r="W259" t="s">
        <v>615</v>
      </c>
      <c r="X259" t="s">
        <v>178</v>
      </c>
      <c r="Y259" t="s">
        <v>616</v>
      </c>
    </row>
    <row r="260" spans="1:25">
      <c r="A260">
        <v>13527</v>
      </c>
      <c r="B260" t="s">
        <v>25</v>
      </c>
      <c r="C260" t="str">
        <f t="shared" si="8"/>
        <v>INTEGRA Saloon</v>
      </c>
      <c r="D260" t="str">
        <f t="shared" si="9"/>
        <v>1.5</v>
      </c>
      <c r="E260" t="s">
        <v>26</v>
      </c>
      <c r="F260">
        <v>198501</v>
      </c>
      <c r="G260">
        <v>199012</v>
      </c>
      <c r="H260">
        <v>63</v>
      </c>
      <c r="I260">
        <v>85</v>
      </c>
      <c r="J260">
        <v>1488</v>
      </c>
      <c r="K260">
        <v>1536701</v>
      </c>
      <c r="L260" t="s">
        <v>173</v>
      </c>
      <c r="M260" t="str">
        <f>"TH14178G2"</f>
        <v>TH14178G2</v>
      </c>
      <c r="N260" t="str">
        <f>"TH14178G2"</f>
        <v>TH14178G2</v>
      </c>
      <c r="O260" t="str">
        <f>""</f>
        <v/>
      </c>
      <c r="P260" t="s">
        <v>622</v>
      </c>
      <c r="Q260" t="str">
        <f>"5414465401558"</f>
        <v>5414465401558</v>
      </c>
      <c r="R260" t="s">
        <v>623</v>
      </c>
      <c r="T260" s="1" t="s">
        <v>624</v>
      </c>
      <c r="U260">
        <v>316</v>
      </c>
      <c r="V260" t="s">
        <v>622</v>
      </c>
      <c r="W260" t="s">
        <v>625</v>
      </c>
      <c r="X260" t="s">
        <v>626</v>
      </c>
      <c r="Y260" t="s">
        <v>627</v>
      </c>
    </row>
    <row r="261" spans="1:25">
      <c r="A261">
        <v>13527</v>
      </c>
      <c r="B261" t="s">
        <v>25</v>
      </c>
      <c r="C261" t="str">
        <f t="shared" si="8"/>
        <v>INTEGRA Saloon</v>
      </c>
      <c r="D261" t="str">
        <f t="shared" si="9"/>
        <v>1.5</v>
      </c>
      <c r="E261" t="s">
        <v>26</v>
      </c>
      <c r="F261">
        <v>198501</v>
      </c>
      <c r="G261">
        <v>199012</v>
      </c>
      <c r="H261">
        <v>63</v>
      </c>
      <c r="I261">
        <v>85</v>
      </c>
      <c r="J261">
        <v>1488</v>
      </c>
      <c r="K261">
        <v>3027626</v>
      </c>
      <c r="L261" t="s">
        <v>33</v>
      </c>
      <c r="M261" t="str">
        <f>"J1534001"</f>
        <v>J1534001</v>
      </c>
      <c r="N261" t="str">
        <f>"J1534001"</f>
        <v>J1534001</v>
      </c>
      <c r="O261" t="str">
        <f>""</f>
        <v/>
      </c>
      <c r="P261" t="s">
        <v>622</v>
      </c>
      <c r="Q261" t="str">
        <f>"8711768039264"</f>
        <v>8711768039264</v>
      </c>
      <c r="R261" t="s">
        <v>628</v>
      </c>
      <c r="T261" t="s">
        <v>629</v>
      </c>
      <c r="U261">
        <v>316</v>
      </c>
      <c r="V261" t="s">
        <v>622</v>
      </c>
      <c r="W261" t="s">
        <v>625</v>
      </c>
      <c r="X261" t="s">
        <v>626</v>
      </c>
      <c r="Y261" t="s">
        <v>627</v>
      </c>
    </row>
    <row r="262" spans="1:25">
      <c r="A262">
        <v>13527</v>
      </c>
      <c r="B262" t="s">
        <v>25</v>
      </c>
      <c r="C262" t="str">
        <f t="shared" si="8"/>
        <v>INTEGRA Saloon</v>
      </c>
      <c r="D262" t="str">
        <f t="shared" si="9"/>
        <v>1.5</v>
      </c>
      <c r="E262" t="s">
        <v>26</v>
      </c>
      <c r="F262">
        <v>198501</v>
      </c>
      <c r="G262">
        <v>199012</v>
      </c>
      <c r="H262">
        <v>63</v>
      </c>
      <c r="I262">
        <v>85</v>
      </c>
      <c r="J262">
        <v>1488</v>
      </c>
      <c r="K262">
        <v>3726272</v>
      </c>
      <c r="L262" t="s">
        <v>630</v>
      </c>
      <c r="M262" t="str">
        <f>"36382"</f>
        <v>36382</v>
      </c>
      <c r="N262" t="str">
        <f>"363-82"</f>
        <v>363-82</v>
      </c>
      <c r="O262" t="str">
        <f>""</f>
        <v/>
      </c>
      <c r="P262" t="s">
        <v>622</v>
      </c>
      <c r="Q262" t="str">
        <f>""</f>
        <v/>
      </c>
      <c r="R262" t="s">
        <v>631</v>
      </c>
      <c r="S262" t="s">
        <v>632</v>
      </c>
      <c r="T262" s="1" t="s">
        <v>633</v>
      </c>
      <c r="U262">
        <v>316</v>
      </c>
      <c r="V262" t="s">
        <v>622</v>
      </c>
      <c r="W262" t="s">
        <v>625</v>
      </c>
      <c r="X262" t="s">
        <v>626</v>
      </c>
      <c r="Y262" t="s">
        <v>627</v>
      </c>
    </row>
    <row r="263" spans="1:25">
      <c r="A263">
        <v>13527</v>
      </c>
      <c r="B263" t="s">
        <v>25</v>
      </c>
      <c r="C263" t="str">
        <f t="shared" si="8"/>
        <v>INTEGRA Saloon</v>
      </c>
      <c r="D263" t="str">
        <f t="shared" si="9"/>
        <v>1.5</v>
      </c>
      <c r="E263" t="s">
        <v>26</v>
      </c>
      <c r="F263">
        <v>198501</v>
      </c>
      <c r="G263">
        <v>199012</v>
      </c>
      <c r="H263">
        <v>63</v>
      </c>
      <c r="I263">
        <v>85</v>
      </c>
      <c r="J263">
        <v>1488</v>
      </c>
      <c r="K263">
        <v>3963953</v>
      </c>
      <c r="L263" t="s">
        <v>27</v>
      </c>
      <c r="M263" t="str">
        <f>"H10603"</f>
        <v>H10603</v>
      </c>
      <c r="N263" t="str">
        <f>"H106-03"</f>
        <v>H106-03</v>
      </c>
      <c r="O263" t="str">
        <f>""</f>
        <v/>
      </c>
      <c r="P263" t="s">
        <v>622</v>
      </c>
      <c r="Q263" t="str">
        <f>"8718993210246"</f>
        <v>8718993210246</v>
      </c>
      <c r="R263" t="s">
        <v>634</v>
      </c>
      <c r="T263" s="1" t="s">
        <v>635</v>
      </c>
      <c r="U263">
        <v>316</v>
      </c>
      <c r="V263" t="s">
        <v>622</v>
      </c>
      <c r="W263" t="s">
        <v>625</v>
      </c>
      <c r="X263" t="s">
        <v>626</v>
      </c>
      <c r="Y263" t="s">
        <v>627</v>
      </c>
    </row>
    <row r="264" spans="1:25">
      <c r="A264">
        <v>13527</v>
      </c>
      <c r="B264" t="s">
        <v>25</v>
      </c>
      <c r="C264" t="str">
        <f t="shared" si="8"/>
        <v>INTEGRA Saloon</v>
      </c>
      <c r="D264" t="str">
        <f t="shared" si="9"/>
        <v>1.5</v>
      </c>
      <c r="E264" t="s">
        <v>26</v>
      </c>
      <c r="F264">
        <v>198501</v>
      </c>
      <c r="G264">
        <v>199012</v>
      </c>
      <c r="H264">
        <v>63</v>
      </c>
      <c r="I264">
        <v>85</v>
      </c>
      <c r="J264">
        <v>1488</v>
      </c>
      <c r="K264">
        <v>2249150</v>
      </c>
      <c r="L264" t="s">
        <v>636</v>
      </c>
      <c r="M264" t="str">
        <f>"BM990"</f>
        <v>BM990</v>
      </c>
      <c r="N264" t="str">
        <f>"BM990"</f>
        <v>BM990</v>
      </c>
      <c r="O264" t="str">
        <f>""</f>
        <v/>
      </c>
      <c r="P264" t="s">
        <v>637</v>
      </c>
      <c r="Q264" t="str">
        <f>""</f>
        <v/>
      </c>
      <c r="R264" t="s">
        <v>638</v>
      </c>
      <c r="S264" t="s">
        <v>102</v>
      </c>
      <c r="T264" s="1" t="s">
        <v>639</v>
      </c>
      <c r="U264">
        <v>318</v>
      </c>
      <c r="V264" t="s">
        <v>637</v>
      </c>
      <c r="W264" t="s">
        <v>640</v>
      </c>
      <c r="X264" t="s">
        <v>641</v>
      </c>
      <c r="Y264" t="s">
        <v>642</v>
      </c>
    </row>
    <row r="265" spans="1:25">
      <c r="A265">
        <v>13527</v>
      </c>
      <c r="B265" t="s">
        <v>25</v>
      </c>
      <c r="C265" t="str">
        <f t="shared" si="8"/>
        <v>INTEGRA Saloon</v>
      </c>
      <c r="D265" t="str">
        <f t="shared" si="9"/>
        <v>1.5</v>
      </c>
      <c r="E265" t="s">
        <v>26</v>
      </c>
      <c r="F265">
        <v>198501</v>
      </c>
      <c r="G265">
        <v>199012</v>
      </c>
      <c r="H265">
        <v>63</v>
      </c>
      <c r="I265">
        <v>85</v>
      </c>
      <c r="J265">
        <v>1488</v>
      </c>
      <c r="K265">
        <v>3026240</v>
      </c>
      <c r="L265" t="s">
        <v>33</v>
      </c>
      <c r="M265" t="str">
        <f>"J1254003"</f>
        <v>J1254003</v>
      </c>
      <c r="N265" t="str">
        <f>"J1254003"</f>
        <v>J1254003</v>
      </c>
      <c r="O265" t="str">
        <f>""</f>
        <v/>
      </c>
      <c r="P265" t="s">
        <v>637</v>
      </c>
      <c r="Q265" t="str">
        <f>"8711768082246"</f>
        <v>8711768082246</v>
      </c>
      <c r="R265" t="s">
        <v>643</v>
      </c>
      <c r="S265" t="s">
        <v>644</v>
      </c>
      <c r="T265" t="s">
        <v>645</v>
      </c>
      <c r="U265">
        <v>318</v>
      </c>
      <c r="V265" t="s">
        <v>637</v>
      </c>
      <c r="W265" t="s">
        <v>640</v>
      </c>
      <c r="X265" t="s">
        <v>641</v>
      </c>
      <c r="Y265" t="s">
        <v>642</v>
      </c>
    </row>
    <row r="266" spans="1:25">
      <c r="A266">
        <v>13527</v>
      </c>
      <c r="B266" t="s">
        <v>25</v>
      </c>
      <c r="C266" t="str">
        <f t="shared" si="8"/>
        <v>INTEGRA Saloon</v>
      </c>
      <c r="D266" t="str">
        <f t="shared" si="9"/>
        <v>1.5</v>
      </c>
      <c r="E266" t="s">
        <v>26</v>
      </c>
      <c r="F266">
        <v>198501</v>
      </c>
      <c r="G266">
        <v>199012</v>
      </c>
      <c r="H266">
        <v>63</v>
      </c>
      <c r="I266">
        <v>85</v>
      </c>
      <c r="J266">
        <v>1488</v>
      </c>
      <c r="K266">
        <v>202163</v>
      </c>
      <c r="L266" t="s">
        <v>33</v>
      </c>
      <c r="M266" t="str">
        <f>"J1244034"</f>
        <v>J1244034</v>
      </c>
      <c r="N266" t="str">
        <f>"J1244034"</f>
        <v>J1244034</v>
      </c>
      <c r="O266" t="str">
        <f>""</f>
        <v/>
      </c>
      <c r="P266" t="s">
        <v>646</v>
      </c>
      <c r="Q266" t="str">
        <f>"8711768030643"</f>
        <v>8711768030643</v>
      </c>
      <c r="R266" t="s">
        <v>647</v>
      </c>
      <c r="T266" t="s">
        <v>648</v>
      </c>
      <c r="U266">
        <v>319</v>
      </c>
      <c r="V266" t="s">
        <v>646</v>
      </c>
      <c r="W266" t="s">
        <v>649</v>
      </c>
      <c r="X266" t="s">
        <v>641</v>
      </c>
    </row>
    <row r="267" spans="1:25">
      <c r="A267">
        <v>13527</v>
      </c>
      <c r="B267" t="s">
        <v>25</v>
      </c>
      <c r="C267" t="str">
        <f t="shared" si="8"/>
        <v>INTEGRA Saloon</v>
      </c>
      <c r="D267" t="str">
        <f t="shared" si="9"/>
        <v>1.5</v>
      </c>
      <c r="E267" t="s">
        <v>26</v>
      </c>
      <c r="F267">
        <v>198501</v>
      </c>
      <c r="G267">
        <v>199012</v>
      </c>
      <c r="H267">
        <v>63</v>
      </c>
      <c r="I267">
        <v>85</v>
      </c>
      <c r="J267">
        <v>1488</v>
      </c>
      <c r="K267">
        <v>590147</v>
      </c>
      <c r="L267" t="s">
        <v>636</v>
      </c>
      <c r="M267" t="str">
        <f>"DM995"</f>
        <v>DM995</v>
      </c>
      <c r="N267" t="str">
        <f>"DM995"</f>
        <v>DM995</v>
      </c>
      <c r="O267" t="str">
        <f>""</f>
        <v/>
      </c>
      <c r="P267" t="s">
        <v>646</v>
      </c>
      <c r="Q267" t="str">
        <f>""</f>
        <v/>
      </c>
      <c r="R267" t="s">
        <v>650</v>
      </c>
      <c r="S267" t="s">
        <v>102</v>
      </c>
      <c r="T267" s="1" t="s">
        <v>651</v>
      </c>
      <c r="U267">
        <v>319</v>
      </c>
      <c r="V267" t="s">
        <v>646</v>
      </c>
      <c r="W267" t="s">
        <v>649</v>
      </c>
      <c r="X267" t="s">
        <v>641</v>
      </c>
    </row>
    <row r="268" spans="1:25">
      <c r="A268">
        <v>13527</v>
      </c>
      <c r="B268" t="s">
        <v>25</v>
      </c>
      <c r="C268" t="str">
        <f t="shared" si="8"/>
        <v>INTEGRA Saloon</v>
      </c>
      <c r="D268" t="str">
        <f t="shared" si="9"/>
        <v>1.5</v>
      </c>
      <c r="E268" t="s">
        <v>26</v>
      </c>
      <c r="F268">
        <v>198501</v>
      </c>
      <c r="G268">
        <v>199012</v>
      </c>
      <c r="H268">
        <v>63</v>
      </c>
      <c r="I268">
        <v>85</v>
      </c>
      <c r="J268">
        <v>1488</v>
      </c>
      <c r="K268">
        <v>3964117</v>
      </c>
      <c r="L268" t="s">
        <v>27</v>
      </c>
      <c r="M268" t="str">
        <f>"H22522"</f>
        <v>H22522</v>
      </c>
      <c r="N268" t="str">
        <f>"H225-22"</f>
        <v>H225-22</v>
      </c>
      <c r="O268" t="str">
        <f>""</f>
        <v/>
      </c>
      <c r="P268" t="s">
        <v>646</v>
      </c>
      <c r="Q268" t="str">
        <f>"8718993212684"</f>
        <v>8718993212684</v>
      </c>
      <c r="R268" t="s">
        <v>652</v>
      </c>
      <c r="T268" s="1" t="s">
        <v>653</v>
      </c>
      <c r="U268">
        <v>319</v>
      </c>
      <c r="V268" t="s">
        <v>646</v>
      </c>
      <c r="W268" t="s">
        <v>649</v>
      </c>
      <c r="X268" t="s">
        <v>641</v>
      </c>
    </row>
    <row r="269" spans="1:25">
      <c r="A269">
        <v>13527</v>
      </c>
      <c r="B269" t="s">
        <v>25</v>
      </c>
      <c r="C269" t="str">
        <f t="shared" si="8"/>
        <v>INTEGRA Saloon</v>
      </c>
      <c r="D269" t="str">
        <f t="shared" si="9"/>
        <v>1.5</v>
      </c>
      <c r="E269" t="s">
        <v>26</v>
      </c>
      <c r="F269">
        <v>198501</v>
      </c>
      <c r="G269">
        <v>199012</v>
      </c>
      <c r="H269">
        <v>63</v>
      </c>
      <c r="I269">
        <v>85</v>
      </c>
      <c r="J269">
        <v>1488</v>
      </c>
      <c r="K269">
        <v>201924</v>
      </c>
      <c r="L269" t="s">
        <v>33</v>
      </c>
      <c r="M269" t="str">
        <f>"J1224006"</f>
        <v>J1224006</v>
      </c>
      <c r="N269" t="str">
        <f>"J1224006"</f>
        <v>J1224006</v>
      </c>
      <c r="O269" t="str">
        <f>""</f>
        <v/>
      </c>
      <c r="P269" t="s">
        <v>654</v>
      </c>
      <c r="Q269" t="str">
        <f>"8711768028565"</f>
        <v>8711768028565</v>
      </c>
      <c r="T269" t="s">
        <v>655</v>
      </c>
      <c r="U269">
        <v>321</v>
      </c>
      <c r="V269" t="s">
        <v>654</v>
      </c>
      <c r="W269" t="s">
        <v>640</v>
      </c>
      <c r="X269" t="s">
        <v>641</v>
      </c>
      <c r="Y269" t="s">
        <v>656</v>
      </c>
    </row>
    <row r="270" spans="1:25">
      <c r="A270">
        <v>13527</v>
      </c>
      <c r="B270" t="s">
        <v>25</v>
      </c>
      <c r="C270" t="str">
        <f t="shared" si="8"/>
        <v>INTEGRA Saloon</v>
      </c>
      <c r="D270" t="str">
        <f t="shared" si="9"/>
        <v>1.5</v>
      </c>
      <c r="E270" t="s">
        <v>26</v>
      </c>
      <c r="F270">
        <v>198501</v>
      </c>
      <c r="G270">
        <v>199012</v>
      </c>
      <c r="H270">
        <v>63</v>
      </c>
      <c r="I270">
        <v>85</v>
      </c>
      <c r="J270">
        <v>1488</v>
      </c>
      <c r="K270">
        <v>3964133</v>
      </c>
      <c r="L270" t="s">
        <v>27</v>
      </c>
      <c r="M270" t="str">
        <f>"H23504"</f>
        <v>H23504</v>
      </c>
      <c r="N270" t="str">
        <f>"H235-04"</f>
        <v>H235-04</v>
      </c>
      <c r="O270" t="str">
        <f>""</f>
        <v/>
      </c>
      <c r="P270" t="s">
        <v>654</v>
      </c>
      <c r="Q270" t="str">
        <f>"8718993212905"</f>
        <v>8718993212905</v>
      </c>
      <c r="R270" t="s">
        <v>657</v>
      </c>
      <c r="T270" s="1" t="s">
        <v>658</v>
      </c>
      <c r="U270">
        <v>321</v>
      </c>
      <c r="V270" t="s">
        <v>654</v>
      </c>
      <c r="W270" t="s">
        <v>640</v>
      </c>
      <c r="X270" t="s">
        <v>641</v>
      </c>
      <c r="Y270" t="s">
        <v>656</v>
      </c>
    </row>
    <row r="271" spans="1:25">
      <c r="A271">
        <v>13527</v>
      </c>
      <c r="B271" t="s">
        <v>25</v>
      </c>
      <c r="C271" t="str">
        <f t="shared" si="8"/>
        <v>INTEGRA Saloon</v>
      </c>
      <c r="D271" t="str">
        <f t="shared" si="9"/>
        <v>1.5</v>
      </c>
      <c r="E271" t="s">
        <v>26</v>
      </c>
      <c r="F271">
        <v>198501</v>
      </c>
      <c r="G271">
        <v>199012</v>
      </c>
      <c r="H271">
        <v>63</v>
      </c>
      <c r="I271">
        <v>85</v>
      </c>
      <c r="J271">
        <v>1488</v>
      </c>
      <c r="K271">
        <v>572593</v>
      </c>
      <c r="L271" t="s">
        <v>659</v>
      </c>
      <c r="M271" t="str">
        <f>"084300"</f>
        <v>084300</v>
      </c>
      <c r="N271" t="str">
        <f>"084.300"</f>
        <v>084.300</v>
      </c>
      <c r="O271" t="str">
        <f>""</f>
        <v/>
      </c>
      <c r="P271" t="s">
        <v>660</v>
      </c>
      <c r="Q271" t="str">
        <f>"4041248150214"</f>
        <v>4041248150214</v>
      </c>
      <c r="R271" t="s">
        <v>661</v>
      </c>
      <c r="T271" t="s">
        <v>662</v>
      </c>
      <c r="U271">
        <v>323</v>
      </c>
      <c r="V271" t="s">
        <v>660</v>
      </c>
      <c r="W271" t="s">
        <v>649</v>
      </c>
      <c r="X271" t="s">
        <v>641</v>
      </c>
      <c r="Y271" t="s">
        <v>663</v>
      </c>
    </row>
    <row r="272" spans="1:25">
      <c r="A272">
        <v>13527</v>
      </c>
      <c r="B272" t="s">
        <v>25</v>
      </c>
      <c r="C272" t="str">
        <f t="shared" si="8"/>
        <v>INTEGRA Saloon</v>
      </c>
      <c r="D272" t="str">
        <f t="shared" si="9"/>
        <v>1.5</v>
      </c>
      <c r="E272" t="s">
        <v>26</v>
      </c>
      <c r="F272">
        <v>198501</v>
      </c>
      <c r="G272">
        <v>199012</v>
      </c>
      <c r="H272">
        <v>63</v>
      </c>
      <c r="I272">
        <v>85</v>
      </c>
      <c r="J272">
        <v>1488</v>
      </c>
      <c r="K272">
        <v>199157</v>
      </c>
      <c r="L272" t="s">
        <v>384</v>
      </c>
      <c r="M272" t="str">
        <f>"NP2279"</f>
        <v>NP2279</v>
      </c>
      <c r="N272" t="str">
        <f>"NP2279"</f>
        <v>NP2279</v>
      </c>
      <c r="O272" t="str">
        <f>""</f>
        <v/>
      </c>
      <c r="P272" t="s">
        <v>664</v>
      </c>
      <c r="Q272" t="str">
        <f>""</f>
        <v/>
      </c>
      <c r="R272" t="s">
        <v>665</v>
      </c>
      <c r="S272" t="s">
        <v>666</v>
      </c>
      <c r="T272" s="1" t="s">
        <v>667</v>
      </c>
      <c r="U272">
        <v>402</v>
      </c>
      <c r="V272" t="s">
        <v>664</v>
      </c>
      <c r="W272" t="s">
        <v>668</v>
      </c>
      <c r="X272" t="s">
        <v>224</v>
      </c>
    </row>
    <row r="273" spans="1:24">
      <c r="A273">
        <v>13527</v>
      </c>
      <c r="B273" t="s">
        <v>25</v>
      </c>
      <c r="C273" t="str">
        <f t="shared" si="8"/>
        <v>INTEGRA Saloon</v>
      </c>
      <c r="D273" t="str">
        <f t="shared" si="9"/>
        <v>1.5</v>
      </c>
      <c r="E273" t="s">
        <v>26</v>
      </c>
      <c r="F273">
        <v>198501</v>
      </c>
      <c r="G273">
        <v>199012</v>
      </c>
      <c r="H273">
        <v>63</v>
      </c>
      <c r="I273">
        <v>85</v>
      </c>
      <c r="J273">
        <v>1488</v>
      </c>
      <c r="K273">
        <v>450082</v>
      </c>
      <c r="L273" t="s">
        <v>669</v>
      </c>
      <c r="M273" t="str">
        <f>"WBP21312B"</f>
        <v>WBP21312B</v>
      </c>
      <c r="N273" t="str">
        <f>"WBP21312B"</f>
        <v>WBP21312B</v>
      </c>
      <c r="O273" t="str">
        <f>""</f>
        <v/>
      </c>
      <c r="P273" t="s">
        <v>664</v>
      </c>
      <c r="Q273" t="str">
        <f>""</f>
        <v/>
      </c>
      <c r="R273" t="s">
        <v>670</v>
      </c>
      <c r="T273" s="1" t="s">
        <v>671</v>
      </c>
      <c r="U273">
        <v>402</v>
      </c>
      <c r="V273" t="s">
        <v>664</v>
      </c>
      <c r="W273" t="s">
        <v>668</v>
      </c>
      <c r="X273" t="s">
        <v>224</v>
      </c>
    </row>
    <row r="274" spans="1:24">
      <c r="A274">
        <v>13527</v>
      </c>
      <c r="B274" t="s">
        <v>25</v>
      </c>
      <c r="C274" t="str">
        <f t="shared" si="8"/>
        <v>INTEGRA Saloon</v>
      </c>
      <c r="D274" t="str">
        <f t="shared" si="9"/>
        <v>1.5</v>
      </c>
      <c r="E274" t="s">
        <v>26</v>
      </c>
      <c r="F274">
        <v>198501</v>
      </c>
      <c r="G274">
        <v>199012</v>
      </c>
      <c r="H274">
        <v>63</v>
      </c>
      <c r="I274">
        <v>85</v>
      </c>
      <c r="J274">
        <v>1488</v>
      </c>
      <c r="K274">
        <v>892662</v>
      </c>
      <c r="L274" t="s">
        <v>298</v>
      </c>
      <c r="M274" t="str">
        <f>"350767"</f>
        <v>350767</v>
      </c>
      <c r="N274" t="str">
        <f>"35-0767"</f>
        <v>35-0767</v>
      </c>
      <c r="O274" t="str">
        <f>""</f>
        <v/>
      </c>
      <c r="P274" t="s">
        <v>664</v>
      </c>
      <c r="Q274" t="str">
        <f>""</f>
        <v/>
      </c>
      <c r="R274" t="s">
        <v>672</v>
      </c>
      <c r="T274" t="s">
        <v>673</v>
      </c>
      <c r="U274">
        <v>402</v>
      </c>
      <c r="V274" t="s">
        <v>664</v>
      </c>
      <c r="W274" t="s">
        <v>668</v>
      </c>
      <c r="X274" t="s">
        <v>224</v>
      </c>
    </row>
    <row r="275" spans="1:24">
      <c r="A275">
        <v>13527</v>
      </c>
      <c r="B275" t="s">
        <v>25</v>
      </c>
      <c r="C275" t="str">
        <f t="shared" si="8"/>
        <v>INTEGRA Saloon</v>
      </c>
      <c r="D275" t="str">
        <f t="shared" si="9"/>
        <v>1.5</v>
      </c>
      <c r="E275" t="s">
        <v>26</v>
      </c>
      <c r="F275">
        <v>198501</v>
      </c>
      <c r="G275">
        <v>199012</v>
      </c>
      <c r="H275">
        <v>63</v>
      </c>
      <c r="I275">
        <v>85</v>
      </c>
      <c r="J275">
        <v>1488</v>
      </c>
      <c r="K275">
        <v>951929</v>
      </c>
      <c r="L275" t="s">
        <v>218</v>
      </c>
      <c r="M275" t="str">
        <f>"PRP0110"</f>
        <v>PRP0110</v>
      </c>
      <c r="N275" t="str">
        <f>"PRP0110"</f>
        <v>PRP0110</v>
      </c>
      <c r="O275" t="str">
        <f>""</f>
        <v/>
      </c>
      <c r="P275" t="s">
        <v>664</v>
      </c>
      <c r="Q275" t="str">
        <f>""</f>
        <v/>
      </c>
      <c r="R275" t="s">
        <v>674</v>
      </c>
      <c r="S275" t="s">
        <v>675</v>
      </c>
      <c r="T275" s="1" t="s">
        <v>676</v>
      </c>
      <c r="U275">
        <v>402</v>
      </c>
      <c r="V275" t="s">
        <v>664</v>
      </c>
      <c r="W275" t="s">
        <v>668</v>
      </c>
      <c r="X275" t="s">
        <v>224</v>
      </c>
    </row>
    <row r="276" spans="1:24">
      <c r="A276">
        <v>13527</v>
      </c>
      <c r="B276" t="s">
        <v>25</v>
      </c>
      <c r="C276" t="str">
        <f t="shared" si="8"/>
        <v>INTEGRA Saloon</v>
      </c>
      <c r="D276" t="str">
        <f t="shared" si="9"/>
        <v>1.5</v>
      </c>
      <c r="E276" t="s">
        <v>26</v>
      </c>
      <c r="F276">
        <v>198501</v>
      </c>
      <c r="G276">
        <v>199012</v>
      </c>
      <c r="H276">
        <v>63</v>
      </c>
      <c r="I276">
        <v>85</v>
      </c>
      <c r="J276">
        <v>1488</v>
      </c>
      <c r="K276">
        <v>958270</v>
      </c>
      <c r="L276" t="s">
        <v>218</v>
      </c>
      <c r="M276" t="str">
        <f>"PRP0566"</f>
        <v>PRP0566</v>
      </c>
      <c r="N276" t="str">
        <f>"PRP0566"</f>
        <v>PRP0566</v>
      </c>
      <c r="O276" t="str">
        <f>""</f>
        <v/>
      </c>
      <c r="P276" t="s">
        <v>664</v>
      </c>
      <c r="Q276" t="str">
        <f>""</f>
        <v/>
      </c>
      <c r="R276" t="s">
        <v>677</v>
      </c>
      <c r="S276" t="s">
        <v>678</v>
      </c>
      <c r="T276" s="1" t="s">
        <v>679</v>
      </c>
      <c r="U276">
        <v>402</v>
      </c>
      <c r="V276" t="s">
        <v>664</v>
      </c>
      <c r="W276" t="s">
        <v>668</v>
      </c>
      <c r="X276" t="s">
        <v>224</v>
      </c>
    </row>
    <row r="277" spans="1:24">
      <c r="A277">
        <v>13527</v>
      </c>
      <c r="B277" t="s">
        <v>25</v>
      </c>
      <c r="C277" t="str">
        <f t="shared" si="8"/>
        <v>INTEGRA Saloon</v>
      </c>
      <c r="D277" t="str">
        <f t="shared" si="9"/>
        <v>1.5</v>
      </c>
      <c r="E277" t="s">
        <v>26</v>
      </c>
      <c r="F277">
        <v>198501</v>
      </c>
      <c r="G277">
        <v>199012</v>
      </c>
      <c r="H277">
        <v>63</v>
      </c>
      <c r="I277">
        <v>85</v>
      </c>
      <c r="J277">
        <v>1488</v>
      </c>
      <c r="K277">
        <v>958314</v>
      </c>
      <c r="L277" t="s">
        <v>218</v>
      </c>
      <c r="M277" t="str">
        <f>"PRP0621"</f>
        <v>PRP0621</v>
      </c>
      <c r="N277" t="str">
        <f>"PRP0621"</f>
        <v>PRP0621</v>
      </c>
      <c r="O277" t="str">
        <f>""</f>
        <v/>
      </c>
      <c r="P277" t="s">
        <v>664</v>
      </c>
      <c r="Q277" t="str">
        <f>""</f>
        <v/>
      </c>
      <c r="R277" t="s">
        <v>680</v>
      </c>
      <c r="S277" t="s">
        <v>681</v>
      </c>
      <c r="T277" s="1" t="s">
        <v>682</v>
      </c>
      <c r="U277">
        <v>402</v>
      </c>
      <c r="V277" t="s">
        <v>664</v>
      </c>
      <c r="W277" t="s">
        <v>668</v>
      </c>
      <c r="X277" t="s">
        <v>224</v>
      </c>
    </row>
    <row r="278" spans="1:24">
      <c r="A278">
        <v>13527</v>
      </c>
      <c r="B278" t="s">
        <v>25</v>
      </c>
      <c r="C278" t="str">
        <f t="shared" si="8"/>
        <v>INTEGRA Saloon</v>
      </c>
      <c r="D278" t="str">
        <f t="shared" si="9"/>
        <v>1.5</v>
      </c>
      <c r="E278" t="s">
        <v>26</v>
      </c>
      <c r="F278">
        <v>198501</v>
      </c>
      <c r="G278">
        <v>199012</v>
      </c>
      <c r="H278">
        <v>63</v>
      </c>
      <c r="I278">
        <v>85</v>
      </c>
      <c r="J278">
        <v>1488</v>
      </c>
      <c r="K278">
        <v>1022686</v>
      </c>
      <c r="L278" t="s">
        <v>683</v>
      </c>
      <c r="M278" t="str">
        <f>"31277"</f>
        <v>31277</v>
      </c>
      <c r="N278" t="str">
        <f>"31277"</f>
        <v>31277</v>
      </c>
      <c r="O278" t="str">
        <f>"20099"</f>
        <v>20099</v>
      </c>
      <c r="P278" t="s">
        <v>664</v>
      </c>
      <c r="Q278" t="str">
        <f>""</f>
        <v/>
      </c>
      <c r="R278" t="s">
        <v>684</v>
      </c>
      <c r="S278" t="s">
        <v>685</v>
      </c>
      <c r="T278" s="1" t="s">
        <v>686</v>
      </c>
      <c r="U278">
        <v>402</v>
      </c>
      <c r="V278" t="s">
        <v>664</v>
      </c>
      <c r="W278" t="s">
        <v>668</v>
      </c>
      <c r="X278" t="s">
        <v>224</v>
      </c>
    </row>
    <row r="279" spans="1:24">
      <c r="A279">
        <v>13527</v>
      </c>
      <c r="B279" t="s">
        <v>25</v>
      </c>
      <c r="C279" t="str">
        <f t="shared" si="8"/>
        <v>INTEGRA Saloon</v>
      </c>
      <c r="D279" t="str">
        <f t="shared" si="9"/>
        <v>1.5</v>
      </c>
      <c r="E279" t="s">
        <v>26</v>
      </c>
      <c r="F279">
        <v>198501</v>
      </c>
      <c r="G279">
        <v>199012</v>
      </c>
      <c r="H279">
        <v>63</v>
      </c>
      <c r="I279">
        <v>85</v>
      </c>
      <c r="J279">
        <v>1488</v>
      </c>
      <c r="K279">
        <v>1022809</v>
      </c>
      <c r="L279" t="s">
        <v>683</v>
      </c>
      <c r="M279" t="str">
        <f>"31742"</f>
        <v>31742</v>
      </c>
      <c r="N279" t="str">
        <f>"31742"</f>
        <v>31742</v>
      </c>
      <c r="O279" t="str">
        <f>"21446"</f>
        <v>21446</v>
      </c>
      <c r="P279" t="s">
        <v>664</v>
      </c>
      <c r="Q279" t="str">
        <f>""</f>
        <v/>
      </c>
      <c r="R279" t="s">
        <v>687</v>
      </c>
      <c r="S279" t="s">
        <v>688</v>
      </c>
      <c r="T279" s="1" t="s">
        <v>689</v>
      </c>
      <c r="U279">
        <v>402</v>
      </c>
      <c r="V279" t="s">
        <v>664</v>
      </c>
      <c r="W279" t="s">
        <v>668</v>
      </c>
      <c r="X279" t="s">
        <v>224</v>
      </c>
    </row>
    <row r="280" spans="1:24">
      <c r="A280">
        <v>13527</v>
      </c>
      <c r="B280" t="s">
        <v>25</v>
      </c>
      <c r="C280" t="str">
        <f t="shared" si="8"/>
        <v>INTEGRA Saloon</v>
      </c>
      <c r="D280" t="str">
        <f t="shared" si="9"/>
        <v>1.5</v>
      </c>
      <c r="E280" t="s">
        <v>26</v>
      </c>
      <c r="F280">
        <v>198501</v>
      </c>
      <c r="G280">
        <v>199012</v>
      </c>
      <c r="H280">
        <v>63</v>
      </c>
      <c r="I280">
        <v>85</v>
      </c>
      <c r="J280">
        <v>1488</v>
      </c>
      <c r="K280">
        <v>1072406</v>
      </c>
      <c r="L280" t="s">
        <v>690</v>
      </c>
      <c r="M280" t="str">
        <f>"8DB355005731"</f>
        <v>8DB355005731</v>
      </c>
      <c r="N280" t="str">
        <f>"8DB 355 005-731"</f>
        <v>8DB 355 005-731</v>
      </c>
      <c r="O280" t="str">
        <f>""</f>
        <v/>
      </c>
      <c r="P280" t="s">
        <v>664</v>
      </c>
      <c r="Q280" t="str">
        <f>"4082300350043"</f>
        <v>4082300350043</v>
      </c>
      <c r="R280" t="s">
        <v>691</v>
      </c>
      <c r="S280" t="s">
        <v>221</v>
      </c>
      <c r="T280" s="1" t="s">
        <v>692</v>
      </c>
      <c r="U280">
        <v>402</v>
      </c>
      <c r="V280" t="s">
        <v>664</v>
      </c>
      <c r="W280" t="s">
        <v>668</v>
      </c>
      <c r="X280" t="s">
        <v>224</v>
      </c>
    </row>
    <row r="281" spans="1:24">
      <c r="A281">
        <v>13527</v>
      </c>
      <c r="B281" t="s">
        <v>25</v>
      </c>
      <c r="C281" t="str">
        <f t="shared" si="8"/>
        <v>INTEGRA Saloon</v>
      </c>
      <c r="D281" t="str">
        <f t="shared" si="9"/>
        <v>1.5</v>
      </c>
      <c r="E281" t="s">
        <v>26</v>
      </c>
      <c r="F281">
        <v>198501</v>
      </c>
      <c r="G281">
        <v>199012</v>
      </c>
      <c r="H281">
        <v>63</v>
      </c>
      <c r="I281">
        <v>85</v>
      </c>
      <c r="J281">
        <v>1488</v>
      </c>
      <c r="K281">
        <v>1072459</v>
      </c>
      <c r="L281" t="s">
        <v>690</v>
      </c>
      <c r="M281" t="str">
        <f>"8DB355006261"</f>
        <v>8DB355006261</v>
      </c>
      <c r="N281" t="str">
        <f>"8DB 355 006-261"</f>
        <v>8DB 355 006-261</v>
      </c>
      <c r="O281" t="str">
        <f>""</f>
        <v/>
      </c>
      <c r="P281" t="s">
        <v>664</v>
      </c>
      <c r="Q281" t="str">
        <f>"4082300350579"</f>
        <v>4082300350579</v>
      </c>
      <c r="R281" t="s">
        <v>693</v>
      </c>
      <c r="S281" t="s">
        <v>310</v>
      </c>
      <c r="T281" s="1" t="s">
        <v>694</v>
      </c>
      <c r="U281">
        <v>402</v>
      </c>
      <c r="V281" t="s">
        <v>664</v>
      </c>
      <c r="W281" t="s">
        <v>668</v>
      </c>
      <c r="X281" t="s">
        <v>224</v>
      </c>
    </row>
    <row r="282" spans="1:24">
      <c r="A282">
        <v>13527</v>
      </c>
      <c r="B282" t="s">
        <v>25</v>
      </c>
      <c r="C282" t="str">
        <f t="shared" si="8"/>
        <v>INTEGRA Saloon</v>
      </c>
      <c r="D282" t="str">
        <f t="shared" si="9"/>
        <v>1.5</v>
      </c>
      <c r="E282" t="s">
        <v>26</v>
      </c>
      <c r="F282">
        <v>198501</v>
      </c>
      <c r="G282">
        <v>199012</v>
      </c>
      <c r="H282">
        <v>63</v>
      </c>
      <c r="I282">
        <v>85</v>
      </c>
      <c r="J282">
        <v>1488</v>
      </c>
      <c r="K282">
        <v>1099099</v>
      </c>
      <c r="L282" t="s">
        <v>318</v>
      </c>
      <c r="M282" t="str">
        <f>"13046059182"</f>
        <v>13046059182</v>
      </c>
      <c r="N282" t="str">
        <f>"13.0460-5918.2"</f>
        <v>13.0460-5918.2</v>
      </c>
      <c r="O282" t="str">
        <f>"605918"</f>
        <v>605918</v>
      </c>
      <c r="P282" t="s">
        <v>664</v>
      </c>
      <c r="Q282" t="str">
        <f>"4006633130691"</f>
        <v>4006633130691</v>
      </c>
      <c r="R282" t="s">
        <v>695</v>
      </c>
      <c r="S282" t="s">
        <v>696</v>
      </c>
      <c r="T282" s="1" t="s">
        <v>697</v>
      </c>
      <c r="U282">
        <v>402</v>
      </c>
      <c r="V282" t="s">
        <v>664</v>
      </c>
      <c r="W282" t="s">
        <v>668</v>
      </c>
      <c r="X282" t="s">
        <v>224</v>
      </c>
    </row>
    <row r="283" spans="1:24">
      <c r="A283">
        <v>13527</v>
      </c>
      <c r="B283" t="s">
        <v>25</v>
      </c>
      <c r="C283" t="str">
        <f t="shared" si="8"/>
        <v>INTEGRA Saloon</v>
      </c>
      <c r="D283" t="str">
        <f t="shared" si="9"/>
        <v>1.5</v>
      </c>
      <c r="E283" t="s">
        <v>26</v>
      </c>
      <c r="F283">
        <v>198501</v>
      </c>
      <c r="G283">
        <v>199012</v>
      </c>
      <c r="H283">
        <v>63</v>
      </c>
      <c r="I283">
        <v>85</v>
      </c>
      <c r="J283">
        <v>1488</v>
      </c>
      <c r="K283">
        <v>1152109</v>
      </c>
      <c r="L283" t="s">
        <v>698</v>
      </c>
      <c r="M283" t="str">
        <f>"T0034"</f>
        <v>T0034</v>
      </c>
      <c r="N283" t="str">
        <f>"T0034"</f>
        <v>T0034</v>
      </c>
      <c r="O283" t="str">
        <f>""</f>
        <v/>
      </c>
      <c r="P283" t="s">
        <v>664</v>
      </c>
      <c r="Q283" t="str">
        <f>"4007590005787"</f>
        <v>4007590005787</v>
      </c>
      <c r="R283" t="s">
        <v>699</v>
      </c>
      <c r="S283" t="s">
        <v>221</v>
      </c>
      <c r="T283" s="1" t="s">
        <v>700</v>
      </c>
      <c r="U283">
        <v>402</v>
      </c>
      <c r="V283" t="s">
        <v>664</v>
      </c>
      <c r="W283" t="s">
        <v>668</v>
      </c>
      <c r="X283" t="s">
        <v>224</v>
      </c>
    </row>
    <row r="284" spans="1:24">
      <c r="A284">
        <v>13527</v>
      </c>
      <c r="B284" t="s">
        <v>25</v>
      </c>
      <c r="C284" t="str">
        <f t="shared" si="8"/>
        <v>INTEGRA Saloon</v>
      </c>
      <c r="D284" t="str">
        <f t="shared" si="9"/>
        <v>1.5</v>
      </c>
      <c r="E284" t="s">
        <v>26</v>
      </c>
      <c r="F284">
        <v>198501</v>
      </c>
      <c r="G284">
        <v>199012</v>
      </c>
      <c r="H284">
        <v>63</v>
      </c>
      <c r="I284">
        <v>85</v>
      </c>
      <c r="J284">
        <v>1488</v>
      </c>
      <c r="K284">
        <v>1152163</v>
      </c>
      <c r="L284" t="s">
        <v>698</v>
      </c>
      <c r="M284" t="str">
        <f>"T0365"</f>
        <v>T0365</v>
      </c>
      <c r="N284" t="str">
        <f>"T0365"</f>
        <v>T0365</v>
      </c>
      <c r="O284" t="str">
        <f>"20099"</f>
        <v>20099</v>
      </c>
      <c r="P284" t="s">
        <v>664</v>
      </c>
      <c r="Q284" t="str">
        <f>"4007590000508"</f>
        <v>4007590000508</v>
      </c>
      <c r="R284" t="s">
        <v>701</v>
      </c>
      <c r="S284" t="s">
        <v>310</v>
      </c>
      <c r="T284" s="1" t="s">
        <v>702</v>
      </c>
      <c r="U284">
        <v>402</v>
      </c>
      <c r="V284" t="s">
        <v>664</v>
      </c>
      <c r="W284" t="s">
        <v>668</v>
      </c>
      <c r="X284" t="s">
        <v>224</v>
      </c>
    </row>
    <row r="285" spans="1:24">
      <c r="A285">
        <v>13527</v>
      </c>
      <c r="B285" t="s">
        <v>25</v>
      </c>
      <c r="C285" t="str">
        <f t="shared" si="8"/>
        <v>INTEGRA Saloon</v>
      </c>
      <c r="D285" t="str">
        <f t="shared" si="9"/>
        <v>1.5</v>
      </c>
      <c r="E285" t="s">
        <v>26</v>
      </c>
      <c r="F285">
        <v>198501</v>
      </c>
      <c r="G285">
        <v>199012</v>
      </c>
      <c r="H285">
        <v>63</v>
      </c>
      <c r="I285">
        <v>85</v>
      </c>
      <c r="J285">
        <v>1488</v>
      </c>
      <c r="K285">
        <v>1280894</v>
      </c>
      <c r="L285" t="s">
        <v>66</v>
      </c>
      <c r="M285" t="str">
        <f>"598286"</f>
        <v>598286</v>
      </c>
      <c r="N285" t="str">
        <f>"598286"</f>
        <v>598286</v>
      </c>
      <c r="O285" t="str">
        <f>"21312"</f>
        <v>21312</v>
      </c>
      <c r="P285" t="s">
        <v>664</v>
      </c>
      <c r="Q285" t="str">
        <f>"3276425982864"</f>
        <v>3276425982864</v>
      </c>
      <c r="R285" s="1" t="s">
        <v>703</v>
      </c>
      <c r="T285" t="s">
        <v>704</v>
      </c>
      <c r="U285">
        <v>402</v>
      </c>
      <c r="V285" t="s">
        <v>664</v>
      </c>
      <c r="W285" t="s">
        <v>668</v>
      </c>
      <c r="X285" t="s">
        <v>224</v>
      </c>
    </row>
    <row r="286" spans="1:24">
      <c r="A286">
        <v>13527</v>
      </c>
      <c r="B286" t="s">
        <v>25</v>
      </c>
      <c r="C286" t="str">
        <f t="shared" si="8"/>
        <v>INTEGRA Saloon</v>
      </c>
      <c r="D286" t="str">
        <f t="shared" si="9"/>
        <v>1.5</v>
      </c>
      <c r="E286" t="s">
        <v>26</v>
      </c>
      <c r="F286">
        <v>198501</v>
      </c>
      <c r="G286">
        <v>199012</v>
      </c>
      <c r="H286">
        <v>63</v>
      </c>
      <c r="I286">
        <v>85</v>
      </c>
      <c r="J286">
        <v>1488</v>
      </c>
      <c r="K286">
        <v>1281462</v>
      </c>
      <c r="L286" t="s">
        <v>66</v>
      </c>
      <c r="M286" t="str">
        <f>"598902"</f>
        <v>598902</v>
      </c>
      <c r="N286" t="str">
        <f>"598902"</f>
        <v>598902</v>
      </c>
      <c r="O286" t="str">
        <f>""</f>
        <v/>
      </c>
      <c r="P286" t="s">
        <v>664</v>
      </c>
      <c r="Q286" t="str">
        <f>"3276425989023"</f>
        <v>3276425989023</v>
      </c>
      <c r="R286" t="s">
        <v>705</v>
      </c>
      <c r="T286" s="1" t="s">
        <v>706</v>
      </c>
      <c r="U286">
        <v>402</v>
      </c>
      <c r="V286" t="s">
        <v>664</v>
      </c>
      <c r="W286" t="s">
        <v>668</v>
      </c>
      <c r="X286" t="s">
        <v>224</v>
      </c>
    </row>
    <row r="287" spans="1:24">
      <c r="A287">
        <v>13527</v>
      </c>
      <c r="B287" t="s">
        <v>25</v>
      </c>
      <c r="C287" t="str">
        <f t="shared" si="8"/>
        <v>INTEGRA Saloon</v>
      </c>
      <c r="D287" t="str">
        <f t="shared" si="9"/>
        <v>1.5</v>
      </c>
      <c r="E287" t="s">
        <v>26</v>
      </c>
      <c r="F287">
        <v>198501</v>
      </c>
      <c r="G287">
        <v>199012</v>
      </c>
      <c r="H287">
        <v>63</v>
      </c>
      <c r="I287">
        <v>85</v>
      </c>
      <c r="J287">
        <v>1488</v>
      </c>
      <c r="K287">
        <v>1626971</v>
      </c>
      <c r="L287" t="s">
        <v>707</v>
      </c>
      <c r="M287" t="str">
        <f>"2009902"</f>
        <v>2009902</v>
      </c>
      <c r="N287" t="str">
        <f>"2009902"</f>
        <v>2009902</v>
      </c>
      <c r="O287" t="str">
        <f>"20099"</f>
        <v>20099</v>
      </c>
      <c r="P287" t="s">
        <v>664</v>
      </c>
      <c r="Q287" t="str">
        <f>"4019722180644"</f>
        <v>4019722180644</v>
      </c>
      <c r="R287" t="s">
        <v>708</v>
      </c>
      <c r="S287" t="s">
        <v>310</v>
      </c>
      <c r="T287" s="1" t="s">
        <v>709</v>
      </c>
      <c r="U287">
        <v>402</v>
      </c>
      <c r="V287" t="s">
        <v>664</v>
      </c>
      <c r="W287" t="s">
        <v>668</v>
      </c>
      <c r="X287" t="s">
        <v>224</v>
      </c>
    </row>
    <row r="288" spans="1:24">
      <c r="A288">
        <v>13527</v>
      </c>
      <c r="B288" t="s">
        <v>25</v>
      </c>
      <c r="C288" t="str">
        <f t="shared" si="8"/>
        <v>INTEGRA Saloon</v>
      </c>
      <c r="D288" t="str">
        <f t="shared" si="9"/>
        <v>1.5</v>
      </c>
      <c r="E288" t="s">
        <v>26</v>
      </c>
      <c r="F288">
        <v>198501</v>
      </c>
      <c r="G288">
        <v>199012</v>
      </c>
      <c r="H288">
        <v>63</v>
      </c>
      <c r="I288">
        <v>85</v>
      </c>
      <c r="J288">
        <v>1488</v>
      </c>
      <c r="K288">
        <v>1627312</v>
      </c>
      <c r="L288" t="s">
        <v>707</v>
      </c>
      <c r="M288" t="str">
        <f>"2131201"</f>
        <v>2131201</v>
      </c>
      <c r="N288" t="str">
        <f>"2131201"</f>
        <v>2131201</v>
      </c>
      <c r="O288" t="str">
        <f>"21312"</f>
        <v>21312</v>
      </c>
      <c r="P288" t="s">
        <v>664</v>
      </c>
      <c r="Q288" t="str">
        <f>"4019722156403"</f>
        <v>4019722156403</v>
      </c>
      <c r="R288" t="s">
        <v>710</v>
      </c>
      <c r="S288" t="s">
        <v>221</v>
      </c>
      <c r="T288" s="1" t="s">
        <v>711</v>
      </c>
      <c r="U288">
        <v>402</v>
      </c>
      <c r="V288" t="s">
        <v>664</v>
      </c>
      <c r="W288" t="s">
        <v>668</v>
      </c>
      <c r="X288" t="s">
        <v>224</v>
      </c>
    </row>
    <row r="289" spans="1:24">
      <c r="A289">
        <v>13527</v>
      </c>
      <c r="B289" t="s">
        <v>25</v>
      </c>
      <c r="C289" t="str">
        <f t="shared" si="8"/>
        <v>INTEGRA Saloon</v>
      </c>
      <c r="D289" t="str">
        <f t="shared" si="9"/>
        <v>1.5</v>
      </c>
      <c r="E289" t="s">
        <v>26</v>
      </c>
      <c r="F289">
        <v>198501</v>
      </c>
      <c r="G289">
        <v>199012</v>
      </c>
      <c r="H289">
        <v>63</v>
      </c>
      <c r="I289">
        <v>85</v>
      </c>
      <c r="J289">
        <v>1488</v>
      </c>
      <c r="K289">
        <v>1680412</v>
      </c>
      <c r="L289" t="s">
        <v>225</v>
      </c>
      <c r="M289" t="str">
        <f>"572135J"</f>
        <v>572135J</v>
      </c>
      <c r="N289" t="str">
        <f>"572135J"</f>
        <v>572135J</v>
      </c>
      <c r="O289" t="str">
        <f>"21312"</f>
        <v>21312</v>
      </c>
      <c r="P289" t="s">
        <v>664</v>
      </c>
      <c r="Q289" t="str">
        <f>"3306435017673"</f>
        <v>3306435017673</v>
      </c>
      <c r="R289" t="s">
        <v>712</v>
      </c>
      <c r="T289" s="1" t="s">
        <v>713</v>
      </c>
      <c r="U289">
        <v>402</v>
      </c>
      <c r="V289" t="s">
        <v>664</v>
      </c>
      <c r="W289" t="s">
        <v>668</v>
      </c>
      <c r="X289" t="s">
        <v>224</v>
      </c>
    </row>
    <row r="290" spans="1:24">
      <c r="A290">
        <v>13527</v>
      </c>
      <c r="B290" t="s">
        <v>25</v>
      </c>
      <c r="C290" t="str">
        <f t="shared" si="8"/>
        <v>INTEGRA Saloon</v>
      </c>
      <c r="D290" t="str">
        <f t="shared" si="9"/>
        <v>1.5</v>
      </c>
      <c r="E290" t="s">
        <v>26</v>
      </c>
      <c r="F290">
        <v>198501</v>
      </c>
      <c r="G290">
        <v>199012</v>
      </c>
      <c r="H290">
        <v>63</v>
      </c>
      <c r="I290">
        <v>85</v>
      </c>
      <c r="J290">
        <v>1488</v>
      </c>
      <c r="K290">
        <v>1680521</v>
      </c>
      <c r="L290" t="s">
        <v>225</v>
      </c>
      <c r="M290" t="str">
        <f>"572288J"</f>
        <v>572288J</v>
      </c>
      <c r="N290" t="str">
        <f>"572288J"</f>
        <v>572288J</v>
      </c>
      <c r="O290" t="str">
        <f>"20099"</f>
        <v>20099</v>
      </c>
      <c r="P290" t="s">
        <v>664</v>
      </c>
      <c r="Q290" t="str">
        <f>"3306435020499"</f>
        <v>3306435020499</v>
      </c>
      <c r="R290" t="s">
        <v>714</v>
      </c>
      <c r="T290" s="1" t="s">
        <v>715</v>
      </c>
      <c r="U290">
        <v>402</v>
      </c>
      <c r="V290" t="s">
        <v>664</v>
      </c>
      <c r="W290" t="s">
        <v>668</v>
      </c>
      <c r="X290" t="s">
        <v>224</v>
      </c>
    </row>
    <row r="291" spans="1:24">
      <c r="A291">
        <v>13527</v>
      </c>
      <c r="B291" t="s">
        <v>25</v>
      </c>
      <c r="C291" t="str">
        <f t="shared" si="8"/>
        <v>INTEGRA Saloon</v>
      </c>
      <c r="D291" t="str">
        <f t="shared" si="9"/>
        <v>1.5</v>
      </c>
      <c r="E291" t="s">
        <v>26</v>
      </c>
      <c r="F291">
        <v>198501</v>
      </c>
      <c r="G291">
        <v>199012</v>
      </c>
      <c r="H291">
        <v>63</v>
      </c>
      <c r="I291">
        <v>85</v>
      </c>
      <c r="J291">
        <v>1488</v>
      </c>
      <c r="K291">
        <v>1694657</v>
      </c>
      <c r="L291" t="s">
        <v>332</v>
      </c>
      <c r="M291" t="str">
        <f>"571977B"</f>
        <v>571977B</v>
      </c>
      <c r="N291" t="str">
        <f>"571977B"</f>
        <v>571977B</v>
      </c>
      <c r="O291" t="str">
        <f>"21312"</f>
        <v>21312</v>
      </c>
      <c r="P291" t="s">
        <v>664</v>
      </c>
      <c r="Q291" t="str">
        <f>"3306435051714"</f>
        <v>3306435051714</v>
      </c>
      <c r="R291" t="s">
        <v>716</v>
      </c>
      <c r="S291" t="s">
        <v>717</v>
      </c>
      <c r="T291" s="1" t="s">
        <v>718</v>
      </c>
      <c r="U291">
        <v>402</v>
      </c>
      <c r="V291" t="s">
        <v>664</v>
      </c>
      <c r="W291" t="s">
        <v>668</v>
      </c>
      <c r="X291" t="s">
        <v>224</v>
      </c>
    </row>
    <row r="292" spans="1:24">
      <c r="A292">
        <v>13527</v>
      </c>
      <c r="B292" t="s">
        <v>25</v>
      </c>
      <c r="C292" t="str">
        <f t="shared" si="8"/>
        <v>INTEGRA Saloon</v>
      </c>
      <c r="D292" t="str">
        <f t="shared" si="9"/>
        <v>1.5</v>
      </c>
      <c r="E292" t="s">
        <v>26</v>
      </c>
      <c r="F292">
        <v>198501</v>
      </c>
      <c r="G292">
        <v>199012</v>
      </c>
      <c r="H292">
        <v>63</v>
      </c>
      <c r="I292">
        <v>85</v>
      </c>
      <c r="J292">
        <v>1488</v>
      </c>
      <c r="K292">
        <v>1694658</v>
      </c>
      <c r="L292" t="s">
        <v>332</v>
      </c>
      <c r="M292" t="str">
        <f>"571977X"</f>
        <v>571977X</v>
      </c>
      <c r="N292" t="str">
        <f>"571977X"</f>
        <v>571977X</v>
      </c>
      <c r="O292" t="str">
        <f>"21312"</f>
        <v>21312</v>
      </c>
      <c r="P292" t="s">
        <v>664</v>
      </c>
      <c r="Q292" t="str">
        <f>""</f>
        <v/>
      </c>
      <c r="R292" t="s">
        <v>719</v>
      </c>
      <c r="S292" t="s">
        <v>717</v>
      </c>
      <c r="T292" s="1" t="s">
        <v>718</v>
      </c>
      <c r="U292">
        <v>402</v>
      </c>
      <c r="V292" t="s">
        <v>664</v>
      </c>
      <c r="W292" t="s">
        <v>668</v>
      </c>
      <c r="X292" t="s">
        <v>224</v>
      </c>
    </row>
    <row r="293" spans="1:24">
      <c r="A293">
        <v>13527</v>
      </c>
      <c r="B293" t="s">
        <v>25</v>
      </c>
      <c r="C293" t="str">
        <f t="shared" si="8"/>
        <v>INTEGRA Saloon</v>
      </c>
      <c r="D293" t="str">
        <f t="shared" si="9"/>
        <v>1.5</v>
      </c>
      <c r="E293" t="s">
        <v>26</v>
      </c>
      <c r="F293">
        <v>198501</v>
      </c>
      <c r="G293">
        <v>199012</v>
      </c>
      <c r="H293">
        <v>63</v>
      </c>
      <c r="I293">
        <v>85</v>
      </c>
      <c r="J293">
        <v>1488</v>
      </c>
      <c r="K293">
        <v>1694829</v>
      </c>
      <c r="L293" t="s">
        <v>332</v>
      </c>
      <c r="M293" t="str">
        <f>"572309B"</f>
        <v>572309B</v>
      </c>
      <c r="N293" t="str">
        <f>"572309B"</f>
        <v>572309B</v>
      </c>
      <c r="O293" t="str">
        <f>"21446"</f>
        <v>21446</v>
      </c>
      <c r="P293" t="s">
        <v>664</v>
      </c>
      <c r="Q293" t="str">
        <f>"3306430346006"</f>
        <v>3306430346006</v>
      </c>
      <c r="R293" t="s">
        <v>720</v>
      </c>
      <c r="S293" t="s">
        <v>678</v>
      </c>
      <c r="T293" s="1" t="s">
        <v>721</v>
      </c>
      <c r="U293">
        <v>402</v>
      </c>
      <c r="V293" t="s">
        <v>664</v>
      </c>
      <c r="W293" t="s">
        <v>668</v>
      </c>
      <c r="X293" t="s">
        <v>224</v>
      </c>
    </row>
    <row r="294" spans="1:24">
      <c r="A294">
        <v>13527</v>
      </c>
      <c r="B294" t="s">
        <v>25</v>
      </c>
      <c r="C294" t="str">
        <f t="shared" si="8"/>
        <v>INTEGRA Saloon</v>
      </c>
      <c r="D294" t="str">
        <f t="shared" si="9"/>
        <v>1.5</v>
      </c>
      <c r="E294" t="s">
        <v>26</v>
      </c>
      <c r="F294">
        <v>198501</v>
      </c>
      <c r="G294">
        <v>199012</v>
      </c>
      <c r="H294">
        <v>63</v>
      </c>
      <c r="I294">
        <v>85</v>
      </c>
      <c r="J294">
        <v>1488</v>
      </c>
      <c r="K294">
        <v>1694848</v>
      </c>
      <c r="L294" t="s">
        <v>332</v>
      </c>
      <c r="M294" t="str">
        <f>"572330B"</f>
        <v>572330B</v>
      </c>
      <c r="N294" t="str">
        <f>"572330B"</f>
        <v>572330B</v>
      </c>
      <c r="O294" t="str">
        <f>"21323"</f>
        <v>21323</v>
      </c>
      <c r="P294" t="s">
        <v>664</v>
      </c>
      <c r="Q294" t="str">
        <f>"3306430346303"</f>
        <v>3306430346303</v>
      </c>
      <c r="R294" t="s">
        <v>722</v>
      </c>
      <c r="S294" t="s">
        <v>316</v>
      </c>
      <c r="T294" s="1" t="s">
        <v>723</v>
      </c>
      <c r="U294">
        <v>402</v>
      </c>
      <c r="V294" t="s">
        <v>664</v>
      </c>
      <c r="W294" t="s">
        <v>668</v>
      </c>
      <c r="X294" t="s">
        <v>224</v>
      </c>
    </row>
    <row r="295" spans="1:24">
      <c r="A295">
        <v>13527</v>
      </c>
      <c r="B295" t="s">
        <v>25</v>
      </c>
      <c r="C295" t="str">
        <f t="shared" si="8"/>
        <v>INTEGRA Saloon</v>
      </c>
      <c r="D295" t="str">
        <f t="shared" si="9"/>
        <v>1.5</v>
      </c>
      <c r="E295" t="s">
        <v>26</v>
      </c>
      <c r="F295">
        <v>198501</v>
      </c>
      <c r="G295">
        <v>199012</v>
      </c>
      <c r="H295">
        <v>63</v>
      </c>
      <c r="I295">
        <v>85</v>
      </c>
      <c r="J295">
        <v>1488</v>
      </c>
      <c r="K295">
        <v>1711748</v>
      </c>
      <c r="L295" t="s">
        <v>724</v>
      </c>
      <c r="M295" t="str">
        <f>"BL1021A2"</f>
        <v>BL1021A2</v>
      </c>
      <c r="N295" t="str">
        <f>"BL1021A2"</f>
        <v>BL1021A2</v>
      </c>
      <c r="O295" t="str">
        <f>"20099"</f>
        <v>20099</v>
      </c>
      <c r="P295" t="s">
        <v>664</v>
      </c>
      <c r="Q295" t="str">
        <f>"4028569283401"</f>
        <v>4028569283401</v>
      </c>
      <c r="R295" t="s">
        <v>725</v>
      </c>
      <c r="S295" t="s">
        <v>726</v>
      </c>
      <c r="T295" s="1" t="s">
        <v>727</v>
      </c>
      <c r="U295">
        <v>402</v>
      </c>
      <c r="V295" t="s">
        <v>664</v>
      </c>
      <c r="W295" t="s">
        <v>668</v>
      </c>
      <c r="X295" t="s">
        <v>224</v>
      </c>
    </row>
    <row r="296" spans="1:24">
      <c r="A296">
        <v>13527</v>
      </c>
      <c r="B296" t="s">
        <v>25</v>
      </c>
      <c r="C296" t="str">
        <f t="shared" si="8"/>
        <v>INTEGRA Saloon</v>
      </c>
      <c r="D296" t="str">
        <f t="shared" si="9"/>
        <v>1.5</v>
      </c>
      <c r="E296" t="s">
        <v>26</v>
      </c>
      <c r="F296">
        <v>198501</v>
      </c>
      <c r="G296">
        <v>199012</v>
      </c>
      <c r="H296">
        <v>63</v>
      </c>
      <c r="I296">
        <v>85</v>
      </c>
      <c r="J296">
        <v>1488</v>
      </c>
      <c r="K296">
        <v>1712049</v>
      </c>
      <c r="L296" t="s">
        <v>724</v>
      </c>
      <c r="M296" t="str">
        <f>"BL1321A2"</f>
        <v>BL1321A2</v>
      </c>
      <c r="N296" t="str">
        <f>"BL1321A2"</f>
        <v>BL1321A2</v>
      </c>
      <c r="O296" t="str">
        <f>"21446"</f>
        <v>21446</v>
      </c>
      <c r="P296" t="s">
        <v>664</v>
      </c>
      <c r="Q296" t="str">
        <f>"4028569286518"</f>
        <v>4028569286518</v>
      </c>
      <c r="R296" t="s">
        <v>728</v>
      </c>
      <c r="S296" t="s">
        <v>729</v>
      </c>
      <c r="T296" s="1" t="s">
        <v>730</v>
      </c>
      <c r="U296">
        <v>402</v>
      </c>
      <c r="V296" t="s">
        <v>664</v>
      </c>
      <c r="W296" t="s">
        <v>668</v>
      </c>
      <c r="X296" t="s">
        <v>224</v>
      </c>
    </row>
    <row r="297" spans="1:24">
      <c r="A297">
        <v>13527</v>
      </c>
      <c r="B297" t="s">
        <v>25</v>
      </c>
      <c r="C297" t="str">
        <f t="shared" si="8"/>
        <v>INTEGRA Saloon</v>
      </c>
      <c r="D297" t="str">
        <f t="shared" si="9"/>
        <v>1.5</v>
      </c>
      <c r="E297" t="s">
        <v>26</v>
      </c>
      <c r="F297">
        <v>198501</v>
      </c>
      <c r="G297">
        <v>199012</v>
      </c>
      <c r="H297">
        <v>63</v>
      </c>
      <c r="I297">
        <v>85</v>
      </c>
      <c r="J297">
        <v>1488</v>
      </c>
      <c r="K297">
        <v>1713197</v>
      </c>
      <c r="L297" t="s">
        <v>724</v>
      </c>
      <c r="M297" t="str">
        <f>"BL2349A1"</f>
        <v>BL2349A1</v>
      </c>
      <c r="N297" t="str">
        <f>"BL2349A1"</f>
        <v>BL2349A1</v>
      </c>
      <c r="O297" t="str">
        <f>"21312"</f>
        <v>21312</v>
      </c>
      <c r="P297" t="s">
        <v>664</v>
      </c>
      <c r="Q297" t="str">
        <f>"4028569681870"</f>
        <v>4028569681870</v>
      </c>
      <c r="R297" s="1" t="s">
        <v>731</v>
      </c>
      <c r="S297" t="s">
        <v>732</v>
      </c>
      <c r="T297" s="1" t="s">
        <v>733</v>
      </c>
      <c r="U297">
        <v>402</v>
      </c>
      <c r="V297" t="s">
        <v>664</v>
      </c>
      <c r="W297" t="s">
        <v>668</v>
      </c>
      <c r="X297" t="s">
        <v>224</v>
      </c>
    </row>
    <row r="298" spans="1:24">
      <c r="A298">
        <v>13527</v>
      </c>
      <c r="B298" t="s">
        <v>25</v>
      </c>
      <c r="C298" t="str">
        <f t="shared" si="8"/>
        <v>INTEGRA Saloon</v>
      </c>
      <c r="D298" t="str">
        <f t="shared" si="9"/>
        <v>1.5</v>
      </c>
      <c r="E298" t="s">
        <v>26</v>
      </c>
      <c r="F298">
        <v>198501</v>
      </c>
      <c r="G298">
        <v>199012</v>
      </c>
      <c r="H298">
        <v>63</v>
      </c>
      <c r="I298">
        <v>85</v>
      </c>
      <c r="J298">
        <v>1488</v>
      </c>
      <c r="K298">
        <v>1713198</v>
      </c>
      <c r="L298" t="s">
        <v>724</v>
      </c>
      <c r="M298" t="str">
        <f>"BL2349B1"</f>
        <v>BL2349B1</v>
      </c>
      <c r="N298" t="str">
        <f>"BL2349B1"</f>
        <v>BL2349B1</v>
      </c>
      <c r="O298" t="str">
        <f>"21312"</f>
        <v>21312</v>
      </c>
      <c r="P298" t="s">
        <v>664</v>
      </c>
      <c r="Q298" t="str">
        <f>"4028569681887"</f>
        <v>4028569681887</v>
      </c>
      <c r="R298" s="1" t="s">
        <v>734</v>
      </c>
      <c r="S298" t="s">
        <v>732</v>
      </c>
      <c r="T298" s="1" t="s">
        <v>735</v>
      </c>
      <c r="U298">
        <v>402</v>
      </c>
      <c r="V298" t="s">
        <v>664</v>
      </c>
      <c r="W298" t="s">
        <v>668</v>
      </c>
      <c r="X298" t="s">
        <v>224</v>
      </c>
    </row>
    <row r="299" spans="1:24">
      <c r="A299">
        <v>13527</v>
      </c>
      <c r="B299" t="s">
        <v>25</v>
      </c>
      <c r="C299" t="str">
        <f t="shared" si="8"/>
        <v>INTEGRA Saloon</v>
      </c>
      <c r="D299" t="str">
        <f t="shared" si="9"/>
        <v>1.5</v>
      </c>
      <c r="E299" t="s">
        <v>26</v>
      </c>
      <c r="F299">
        <v>198501</v>
      </c>
      <c r="G299">
        <v>199012</v>
      </c>
      <c r="H299">
        <v>63</v>
      </c>
      <c r="I299">
        <v>85</v>
      </c>
      <c r="J299">
        <v>1488</v>
      </c>
      <c r="K299">
        <v>1817198</v>
      </c>
      <c r="L299" t="s">
        <v>228</v>
      </c>
      <c r="M299" t="str">
        <f>"FDB454"</f>
        <v>FDB454</v>
      </c>
      <c r="N299" t="str">
        <f>"FDB454"</f>
        <v>FDB454</v>
      </c>
      <c r="O299" t="str">
        <f>"20099"</f>
        <v>20099</v>
      </c>
      <c r="P299" t="s">
        <v>664</v>
      </c>
      <c r="Q299" t="str">
        <f>"5016687025378"</f>
        <v>5016687025378</v>
      </c>
      <c r="R299" s="1" t="s">
        <v>736</v>
      </c>
      <c r="T299" s="1" t="s">
        <v>737</v>
      </c>
      <c r="U299">
        <v>402</v>
      </c>
      <c r="V299" t="s">
        <v>664</v>
      </c>
      <c r="W299" t="s">
        <v>668</v>
      </c>
      <c r="X299" t="s">
        <v>224</v>
      </c>
    </row>
    <row r="300" spans="1:24">
      <c r="A300">
        <v>13527</v>
      </c>
      <c r="B300" t="s">
        <v>25</v>
      </c>
      <c r="C300" t="str">
        <f t="shared" si="8"/>
        <v>INTEGRA Saloon</v>
      </c>
      <c r="D300" t="str">
        <f t="shared" si="9"/>
        <v>1.5</v>
      </c>
      <c r="E300" t="s">
        <v>26</v>
      </c>
      <c r="F300">
        <v>198501</v>
      </c>
      <c r="G300">
        <v>199012</v>
      </c>
      <c r="H300">
        <v>63</v>
      </c>
      <c r="I300">
        <v>85</v>
      </c>
      <c r="J300">
        <v>1488</v>
      </c>
      <c r="K300">
        <v>1817220</v>
      </c>
      <c r="L300" t="s">
        <v>228</v>
      </c>
      <c r="M300" t="str">
        <f>"FDB472"</f>
        <v>FDB472</v>
      </c>
      <c r="N300" t="str">
        <f>"FDB472"</f>
        <v>FDB472</v>
      </c>
      <c r="O300" t="str">
        <f>"21312"</f>
        <v>21312</v>
      </c>
      <c r="P300" t="s">
        <v>664</v>
      </c>
      <c r="Q300" t="str">
        <f>"5016687026276"</f>
        <v>5016687026276</v>
      </c>
      <c r="R300" s="1" t="s">
        <v>738</v>
      </c>
      <c r="T300" s="1" t="s">
        <v>739</v>
      </c>
      <c r="U300">
        <v>402</v>
      </c>
      <c r="V300" t="s">
        <v>664</v>
      </c>
      <c r="W300" t="s">
        <v>668</v>
      </c>
      <c r="X300" t="s">
        <v>224</v>
      </c>
    </row>
    <row r="301" spans="1:24">
      <c r="A301">
        <v>13527</v>
      </c>
      <c r="B301" t="s">
        <v>25</v>
      </c>
      <c r="C301" t="str">
        <f t="shared" si="8"/>
        <v>INTEGRA Saloon</v>
      </c>
      <c r="D301" t="str">
        <f t="shared" si="9"/>
        <v>1.5</v>
      </c>
      <c r="E301" t="s">
        <v>26</v>
      </c>
      <c r="F301">
        <v>198501</v>
      </c>
      <c r="G301">
        <v>199012</v>
      </c>
      <c r="H301">
        <v>63</v>
      </c>
      <c r="I301">
        <v>85</v>
      </c>
      <c r="J301">
        <v>1488</v>
      </c>
      <c r="K301">
        <v>1821785</v>
      </c>
      <c r="L301" t="s">
        <v>228</v>
      </c>
      <c r="M301" t="str">
        <f>"FSL472"</f>
        <v>FSL472</v>
      </c>
      <c r="N301" t="str">
        <f>"FSL472"</f>
        <v>FSL472</v>
      </c>
      <c r="O301" t="str">
        <f>"21312"</f>
        <v>21312</v>
      </c>
      <c r="P301" t="s">
        <v>664</v>
      </c>
      <c r="Q301" t="str">
        <f>"4044197300501"</f>
        <v>4044197300501</v>
      </c>
      <c r="R301" t="s">
        <v>740</v>
      </c>
      <c r="T301" s="1" t="s">
        <v>741</v>
      </c>
      <c r="U301">
        <v>402</v>
      </c>
      <c r="V301" t="s">
        <v>664</v>
      </c>
      <c r="W301" t="s">
        <v>668</v>
      </c>
      <c r="X301" t="s">
        <v>224</v>
      </c>
    </row>
    <row r="302" spans="1:24">
      <c r="A302">
        <v>13527</v>
      </c>
      <c r="B302" t="s">
        <v>25</v>
      </c>
      <c r="C302" t="str">
        <f t="shared" si="8"/>
        <v>INTEGRA Saloon</v>
      </c>
      <c r="D302" t="str">
        <f t="shared" si="9"/>
        <v>1.5</v>
      </c>
      <c r="E302" t="s">
        <v>26</v>
      </c>
      <c r="F302">
        <v>198501</v>
      </c>
      <c r="G302">
        <v>199012</v>
      </c>
      <c r="H302">
        <v>63</v>
      </c>
      <c r="I302">
        <v>85</v>
      </c>
      <c r="J302">
        <v>1488</v>
      </c>
      <c r="K302">
        <v>1894566</v>
      </c>
      <c r="L302" t="s">
        <v>231</v>
      </c>
      <c r="M302" t="str">
        <f>"P28010"</f>
        <v>P28010</v>
      </c>
      <c r="N302" t="str">
        <f>"P 28 010"</f>
        <v>P 28 010</v>
      </c>
      <c r="O302" t="str">
        <f>"20099"</f>
        <v>20099</v>
      </c>
      <c r="P302" t="s">
        <v>664</v>
      </c>
      <c r="Q302" t="str">
        <f>"8020584052440"</f>
        <v>8020584052440</v>
      </c>
      <c r="R302" t="s">
        <v>742</v>
      </c>
      <c r="S302" t="s">
        <v>310</v>
      </c>
      <c r="T302" s="1" t="s">
        <v>743</v>
      </c>
      <c r="U302">
        <v>402</v>
      </c>
      <c r="V302" t="s">
        <v>664</v>
      </c>
      <c r="W302" t="s">
        <v>668</v>
      </c>
      <c r="X302" t="s">
        <v>224</v>
      </c>
    </row>
    <row r="303" spans="1:24">
      <c r="A303">
        <v>13527</v>
      </c>
      <c r="B303" t="s">
        <v>25</v>
      </c>
      <c r="C303" t="str">
        <f t="shared" si="8"/>
        <v>INTEGRA Saloon</v>
      </c>
      <c r="D303" t="str">
        <f t="shared" si="9"/>
        <v>1.5</v>
      </c>
      <c r="E303" t="s">
        <v>26</v>
      </c>
      <c r="F303">
        <v>198501</v>
      </c>
      <c r="G303">
        <v>199012</v>
      </c>
      <c r="H303">
        <v>63</v>
      </c>
      <c r="I303">
        <v>85</v>
      </c>
      <c r="J303">
        <v>1488</v>
      </c>
      <c r="K303">
        <v>1894571</v>
      </c>
      <c r="L303" t="s">
        <v>231</v>
      </c>
      <c r="M303" t="str">
        <f>"P28017"</f>
        <v>P28017</v>
      </c>
      <c r="N303" t="str">
        <f>"P 28 017"</f>
        <v>P 28 017</v>
      </c>
      <c r="O303" t="str">
        <f>"21312"</f>
        <v>21312</v>
      </c>
      <c r="P303" t="s">
        <v>664</v>
      </c>
      <c r="Q303" t="str">
        <f>"8020584052518"</f>
        <v>8020584052518</v>
      </c>
      <c r="R303" t="s">
        <v>744</v>
      </c>
      <c r="S303" t="s">
        <v>221</v>
      </c>
      <c r="T303" s="1" t="s">
        <v>745</v>
      </c>
      <c r="U303">
        <v>402</v>
      </c>
      <c r="V303" t="s">
        <v>664</v>
      </c>
      <c r="W303" t="s">
        <v>668</v>
      </c>
      <c r="X303" t="s">
        <v>224</v>
      </c>
    </row>
    <row r="304" spans="1:24">
      <c r="A304">
        <v>13527</v>
      </c>
      <c r="B304" t="s">
        <v>25</v>
      </c>
      <c r="C304" t="str">
        <f t="shared" si="8"/>
        <v>INTEGRA Saloon</v>
      </c>
      <c r="D304" t="str">
        <f t="shared" si="9"/>
        <v>1.5</v>
      </c>
      <c r="E304" t="s">
        <v>26</v>
      </c>
      <c r="F304">
        <v>198501</v>
      </c>
      <c r="G304">
        <v>199012</v>
      </c>
      <c r="H304">
        <v>63</v>
      </c>
      <c r="I304">
        <v>85</v>
      </c>
      <c r="J304">
        <v>1488</v>
      </c>
      <c r="K304">
        <v>1919786</v>
      </c>
      <c r="L304" t="s">
        <v>746</v>
      </c>
      <c r="M304" t="str">
        <f>"MDB1344"</f>
        <v>MDB1344</v>
      </c>
      <c r="N304" t="str">
        <f>"MDB1344"</f>
        <v>MDB1344</v>
      </c>
      <c r="O304" t="str">
        <f>"20099"</f>
        <v>20099</v>
      </c>
      <c r="P304" t="s">
        <v>664</v>
      </c>
      <c r="Q304" t="str">
        <f>"5028740002486"</f>
        <v>5028740002486</v>
      </c>
      <c r="R304" t="s">
        <v>747</v>
      </c>
      <c r="S304" t="s">
        <v>310</v>
      </c>
      <c r="T304" s="1" t="s">
        <v>748</v>
      </c>
      <c r="U304">
        <v>402</v>
      </c>
      <c r="V304" t="s">
        <v>664</v>
      </c>
      <c r="W304" t="s">
        <v>668</v>
      </c>
      <c r="X304" t="s">
        <v>224</v>
      </c>
    </row>
    <row r="305" spans="1:24">
      <c r="A305">
        <v>13527</v>
      </c>
      <c r="B305" t="s">
        <v>25</v>
      </c>
      <c r="C305" t="str">
        <f t="shared" si="8"/>
        <v>INTEGRA Saloon</v>
      </c>
      <c r="D305" t="str">
        <f t="shared" si="9"/>
        <v>1.5</v>
      </c>
      <c r="E305" t="s">
        <v>26</v>
      </c>
      <c r="F305">
        <v>198501</v>
      </c>
      <c r="G305">
        <v>199012</v>
      </c>
      <c r="H305">
        <v>63</v>
      </c>
      <c r="I305">
        <v>85</v>
      </c>
      <c r="J305">
        <v>1488</v>
      </c>
      <c r="K305">
        <v>1919799</v>
      </c>
      <c r="L305" t="s">
        <v>746</v>
      </c>
      <c r="M305" t="str">
        <f>"MDB1360"</f>
        <v>MDB1360</v>
      </c>
      <c r="N305" t="str">
        <f>"MDB1360"</f>
        <v>MDB1360</v>
      </c>
      <c r="O305" t="str">
        <f>"21312"</f>
        <v>21312</v>
      </c>
      <c r="P305" t="s">
        <v>664</v>
      </c>
      <c r="Q305" t="str">
        <f>"5028740002639"</f>
        <v>5028740002639</v>
      </c>
      <c r="R305" t="s">
        <v>749</v>
      </c>
      <c r="S305" t="s">
        <v>221</v>
      </c>
      <c r="T305" s="1" t="s">
        <v>750</v>
      </c>
      <c r="U305">
        <v>402</v>
      </c>
      <c r="V305" t="s">
        <v>664</v>
      </c>
      <c r="W305" t="s">
        <v>668</v>
      </c>
      <c r="X305" t="s">
        <v>224</v>
      </c>
    </row>
    <row r="306" spans="1:24">
      <c r="A306">
        <v>13527</v>
      </c>
      <c r="B306" t="s">
        <v>25</v>
      </c>
      <c r="C306" t="str">
        <f t="shared" si="8"/>
        <v>INTEGRA Saloon</v>
      </c>
      <c r="D306" t="str">
        <f t="shared" si="9"/>
        <v>1.5</v>
      </c>
      <c r="E306" t="s">
        <v>26</v>
      </c>
      <c r="F306">
        <v>198501</v>
      </c>
      <c r="G306">
        <v>199012</v>
      </c>
      <c r="H306">
        <v>63</v>
      </c>
      <c r="I306">
        <v>85</v>
      </c>
      <c r="J306">
        <v>1488</v>
      </c>
      <c r="K306">
        <v>1919830</v>
      </c>
      <c r="L306" t="s">
        <v>746</v>
      </c>
      <c r="M306" t="str">
        <f>"MDB1411"</f>
        <v>MDB1411</v>
      </c>
      <c r="N306" t="str">
        <f>"MDB1411"</f>
        <v>MDB1411</v>
      </c>
      <c r="O306" t="str">
        <f>"21312"</f>
        <v>21312</v>
      </c>
      <c r="P306" t="s">
        <v>664</v>
      </c>
      <c r="Q306" t="str">
        <f>"5028740003063"</f>
        <v>5028740003063</v>
      </c>
      <c r="R306" t="s">
        <v>751</v>
      </c>
      <c r="S306" t="s">
        <v>221</v>
      </c>
      <c r="T306" s="1" t="s">
        <v>752</v>
      </c>
      <c r="U306">
        <v>402</v>
      </c>
      <c r="V306" t="s">
        <v>664</v>
      </c>
      <c r="W306" t="s">
        <v>668</v>
      </c>
      <c r="X306" t="s">
        <v>224</v>
      </c>
    </row>
    <row r="307" spans="1:24">
      <c r="A307">
        <v>13527</v>
      </c>
      <c r="B307" t="s">
        <v>25</v>
      </c>
      <c r="C307" t="str">
        <f t="shared" si="8"/>
        <v>INTEGRA Saloon</v>
      </c>
      <c r="D307" t="str">
        <f t="shared" si="9"/>
        <v>1.5</v>
      </c>
      <c r="E307" t="s">
        <v>26</v>
      </c>
      <c r="F307">
        <v>198501</v>
      </c>
      <c r="G307">
        <v>199012</v>
      </c>
      <c r="H307">
        <v>63</v>
      </c>
      <c r="I307">
        <v>85</v>
      </c>
      <c r="J307">
        <v>1488</v>
      </c>
      <c r="K307">
        <v>2053896</v>
      </c>
      <c r="L307" t="s">
        <v>753</v>
      </c>
      <c r="M307" t="str">
        <f>"023302"</f>
        <v>023302</v>
      </c>
      <c r="N307" t="str">
        <f>"0233.02"</f>
        <v>0233.02</v>
      </c>
      <c r="O307" t="str">
        <f>"21312"</f>
        <v>21312</v>
      </c>
      <c r="P307" t="s">
        <v>664</v>
      </c>
      <c r="Q307" t="str">
        <f>"8427975005731"</f>
        <v>8427975005731</v>
      </c>
      <c r="R307" s="1" t="s">
        <v>754</v>
      </c>
      <c r="T307" s="1" t="s">
        <v>755</v>
      </c>
      <c r="U307">
        <v>402</v>
      </c>
      <c r="V307" t="s">
        <v>664</v>
      </c>
      <c r="W307" t="s">
        <v>668</v>
      </c>
      <c r="X307" t="s">
        <v>224</v>
      </c>
    </row>
    <row r="308" spans="1:24">
      <c r="A308">
        <v>13527</v>
      </c>
      <c r="B308" t="s">
        <v>25</v>
      </c>
      <c r="C308" t="str">
        <f t="shared" si="8"/>
        <v>INTEGRA Saloon</v>
      </c>
      <c r="D308" t="str">
        <f t="shared" si="9"/>
        <v>1.5</v>
      </c>
      <c r="E308" t="s">
        <v>26</v>
      </c>
      <c r="F308">
        <v>198501</v>
      </c>
      <c r="G308">
        <v>199012</v>
      </c>
      <c r="H308">
        <v>63</v>
      </c>
      <c r="I308">
        <v>85</v>
      </c>
      <c r="J308">
        <v>1488</v>
      </c>
      <c r="K308">
        <v>2060438</v>
      </c>
      <c r="L308" t="s">
        <v>753</v>
      </c>
      <c r="M308" t="str">
        <f>"1170251"</f>
        <v>1170251</v>
      </c>
      <c r="N308" t="str">
        <f>"1170251"</f>
        <v>1170251</v>
      </c>
      <c r="O308" t="str">
        <f>"21312"</f>
        <v>21312</v>
      </c>
      <c r="P308" t="s">
        <v>664</v>
      </c>
      <c r="Q308" t="str">
        <f>"4250032669416"</f>
        <v>4250032669416</v>
      </c>
      <c r="R308" t="s">
        <v>756</v>
      </c>
      <c r="T308" s="1" t="s">
        <v>755</v>
      </c>
      <c r="U308">
        <v>402</v>
      </c>
      <c r="V308" t="s">
        <v>664</v>
      </c>
      <c r="W308" t="s">
        <v>668</v>
      </c>
      <c r="X308" t="s">
        <v>224</v>
      </c>
    </row>
    <row r="309" spans="1:24">
      <c r="A309">
        <v>13527</v>
      </c>
      <c r="B309" t="s">
        <v>25</v>
      </c>
      <c r="C309" t="str">
        <f t="shared" si="8"/>
        <v>INTEGRA Saloon</v>
      </c>
      <c r="D309" t="str">
        <f t="shared" si="9"/>
        <v>1.5</v>
      </c>
      <c r="E309" t="s">
        <v>26</v>
      </c>
      <c r="F309">
        <v>198501</v>
      </c>
      <c r="G309">
        <v>199012</v>
      </c>
      <c r="H309">
        <v>63</v>
      </c>
      <c r="I309">
        <v>85</v>
      </c>
      <c r="J309">
        <v>1488</v>
      </c>
      <c r="K309">
        <v>2113897</v>
      </c>
      <c r="L309" t="s">
        <v>95</v>
      </c>
      <c r="M309" t="str">
        <f>"363700200034"</f>
        <v>363700200034</v>
      </c>
      <c r="N309" t="str">
        <f>"363700200034"</f>
        <v>363700200034</v>
      </c>
      <c r="O309" t="str">
        <f>"T0034MM"</f>
        <v>T0034MM</v>
      </c>
      <c r="P309" t="s">
        <v>664</v>
      </c>
      <c r="Q309" t="str">
        <f>"8001063554853"</f>
        <v>8001063554853</v>
      </c>
      <c r="R309" t="s">
        <v>757</v>
      </c>
      <c r="S309" t="s">
        <v>221</v>
      </c>
      <c r="T309" s="1" t="s">
        <v>758</v>
      </c>
      <c r="U309">
        <v>402</v>
      </c>
      <c r="V309" t="s">
        <v>664</v>
      </c>
      <c r="W309" t="s">
        <v>668</v>
      </c>
      <c r="X309" t="s">
        <v>224</v>
      </c>
    </row>
    <row r="310" spans="1:24">
      <c r="A310">
        <v>13527</v>
      </c>
      <c r="B310" t="s">
        <v>25</v>
      </c>
      <c r="C310" t="str">
        <f t="shared" si="8"/>
        <v>INTEGRA Saloon</v>
      </c>
      <c r="D310" t="str">
        <f t="shared" si="9"/>
        <v>1.5</v>
      </c>
      <c r="E310" t="s">
        <v>26</v>
      </c>
      <c r="F310">
        <v>198501</v>
      </c>
      <c r="G310">
        <v>199012</v>
      </c>
      <c r="H310">
        <v>63</v>
      </c>
      <c r="I310">
        <v>85</v>
      </c>
      <c r="J310">
        <v>1488</v>
      </c>
      <c r="K310">
        <v>2117469</v>
      </c>
      <c r="L310" t="s">
        <v>95</v>
      </c>
      <c r="M310" t="str">
        <f>"363916060457"</f>
        <v>363916060457</v>
      </c>
      <c r="N310" t="str">
        <f>"363916060457"</f>
        <v>363916060457</v>
      </c>
      <c r="O310" t="str">
        <f>"PF0457"</f>
        <v>PF0457</v>
      </c>
      <c r="P310" t="s">
        <v>664</v>
      </c>
      <c r="Q310" t="str">
        <f>"8001063679624"</f>
        <v>8001063679624</v>
      </c>
      <c r="R310" t="s">
        <v>759</v>
      </c>
      <c r="S310" t="s">
        <v>221</v>
      </c>
      <c r="T310" s="1" t="s">
        <v>760</v>
      </c>
      <c r="U310">
        <v>402</v>
      </c>
      <c r="V310" t="s">
        <v>664</v>
      </c>
      <c r="W310" t="s">
        <v>668</v>
      </c>
      <c r="X310" t="s">
        <v>224</v>
      </c>
    </row>
    <row r="311" spans="1:24">
      <c r="A311">
        <v>13527</v>
      </c>
      <c r="B311" t="s">
        <v>25</v>
      </c>
      <c r="C311" t="str">
        <f t="shared" si="8"/>
        <v>INTEGRA Saloon</v>
      </c>
      <c r="D311" t="str">
        <f t="shared" si="9"/>
        <v>1.5</v>
      </c>
      <c r="E311" t="s">
        <v>26</v>
      </c>
      <c r="F311">
        <v>198501</v>
      </c>
      <c r="G311">
        <v>199012</v>
      </c>
      <c r="H311">
        <v>63</v>
      </c>
      <c r="I311">
        <v>85</v>
      </c>
      <c r="J311">
        <v>1488</v>
      </c>
      <c r="K311">
        <v>2203625</v>
      </c>
      <c r="L311" t="s">
        <v>181</v>
      </c>
      <c r="M311" t="str">
        <f>"811021004"</f>
        <v>811021004</v>
      </c>
      <c r="N311" t="str">
        <f>"8110 21004"</f>
        <v>8110 21004</v>
      </c>
      <c r="O311" t="str">
        <f>""</f>
        <v/>
      </c>
      <c r="P311" t="s">
        <v>664</v>
      </c>
      <c r="Q311" t="str">
        <f>"5709147852552"</f>
        <v>5709147852552</v>
      </c>
      <c r="R311" t="s">
        <v>761</v>
      </c>
      <c r="S311" t="s">
        <v>221</v>
      </c>
      <c r="T311" s="1" t="s">
        <v>762</v>
      </c>
      <c r="U311">
        <v>402</v>
      </c>
      <c r="V311" t="s">
        <v>664</v>
      </c>
      <c r="W311" t="s">
        <v>668</v>
      </c>
      <c r="X311" t="s">
        <v>224</v>
      </c>
    </row>
    <row r="312" spans="1:24">
      <c r="A312">
        <v>13527</v>
      </c>
      <c r="B312" t="s">
        <v>25</v>
      </c>
      <c r="C312" t="str">
        <f t="shared" si="8"/>
        <v>INTEGRA Saloon</v>
      </c>
      <c r="D312" t="str">
        <f t="shared" si="9"/>
        <v>1.5</v>
      </c>
      <c r="E312" t="s">
        <v>26</v>
      </c>
      <c r="F312">
        <v>198501</v>
      </c>
      <c r="G312">
        <v>199012</v>
      </c>
      <c r="H312">
        <v>63</v>
      </c>
      <c r="I312">
        <v>85</v>
      </c>
      <c r="J312">
        <v>1488</v>
      </c>
      <c r="K312">
        <v>2204057</v>
      </c>
      <c r="L312" t="s">
        <v>181</v>
      </c>
      <c r="M312" t="str">
        <f>"811040853"</f>
        <v>811040853</v>
      </c>
      <c r="N312" t="str">
        <f>"8110 40853"</f>
        <v>8110 40853</v>
      </c>
      <c r="O312" t="str">
        <f>""</f>
        <v/>
      </c>
      <c r="P312" t="s">
        <v>664</v>
      </c>
      <c r="Q312" t="str">
        <f>""</f>
        <v/>
      </c>
      <c r="S312" t="s">
        <v>310</v>
      </c>
      <c r="U312">
        <v>402</v>
      </c>
      <c r="V312" t="s">
        <v>664</v>
      </c>
      <c r="W312" t="s">
        <v>668</v>
      </c>
      <c r="X312" t="s">
        <v>224</v>
      </c>
    </row>
    <row r="313" spans="1:24">
      <c r="A313">
        <v>13527</v>
      </c>
      <c r="B313" t="s">
        <v>25</v>
      </c>
      <c r="C313" t="str">
        <f t="shared" si="8"/>
        <v>INTEGRA Saloon</v>
      </c>
      <c r="D313" t="str">
        <f t="shared" si="9"/>
        <v>1.5</v>
      </c>
      <c r="E313" t="s">
        <v>26</v>
      </c>
      <c r="F313">
        <v>198501</v>
      </c>
      <c r="G313">
        <v>199012</v>
      </c>
      <c r="H313">
        <v>63</v>
      </c>
      <c r="I313">
        <v>85</v>
      </c>
      <c r="J313">
        <v>1488</v>
      </c>
      <c r="K313">
        <v>2204065</v>
      </c>
      <c r="L313" t="s">
        <v>181</v>
      </c>
      <c r="M313" t="str">
        <f>"811040978"</f>
        <v>811040978</v>
      </c>
      <c r="N313" t="str">
        <f>"8110 40978"</f>
        <v>8110 40978</v>
      </c>
      <c r="O313" t="str">
        <f>""</f>
        <v/>
      </c>
      <c r="P313" t="s">
        <v>664</v>
      </c>
      <c r="Q313" t="str">
        <f>"5709147321362"</f>
        <v>5709147321362</v>
      </c>
      <c r="R313" t="s">
        <v>763</v>
      </c>
      <c r="S313" t="s">
        <v>221</v>
      </c>
      <c r="T313" s="1" t="s">
        <v>764</v>
      </c>
      <c r="U313">
        <v>402</v>
      </c>
      <c r="V313" t="s">
        <v>664</v>
      </c>
      <c r="W313" t="s">
        <v>668</v>
      </c>
      <c r="X313" t="s">
        <v>224</v>
      </c>
    </row>
    <row r="314" spans="1:24">
      <c r="A314">
        <v>13527</v>
      </c>
      <c r="B314" t="s">
        <v>25</v>
      </c>
      <c r="C314" t="str">
        <f t="shared" si="8"/>
        <v>INTEGRA Saloon</v>
      </c>
      <c r="D314" t="str">
        <f t="shared" si="9"/>
        <v>1.5</v>
      </c>
      <c r="E314" t="s">
        <v>26</v>
      </c>
      <c r="F314">
        <v>198501</v>
      </c>
      <c r="G314">
        <v>199012</v>
      </c>
      <c r="H314">
        <v>63</v>
      </c>
      <c r="I314">
        <v>85</v>
      </c>
      <c r="J314">
        <v>1488</v>
      </c>
      <c r="K314">
        <v>2309163</v>
      </c>
      <c r="L314" t="s">
        <v>234</v>
      </c>
      <c r="M314" t="str">
        <f>"2201701"</f>
        <v>2201701</v>
      </c>
      <c r="N314" t="str">
        <f>"22-0170-1"</f>
        <v>22-0170-1</v>
      </c>
      <c r="O314" t="str">
        <f>""</f>
        <v/>
      </c>
      <c r="P314" t="s">
        <v>664</v>
      </c>
      <c r="Q314" t="str">
        <f>""</f>
        <v/>
      </c>
      <c r="R314" t="s">
        <v>674</v>
      </c>
      <c r="S314" t="s">
        <v>675</v>
      </c>
      <c r="T314" s="1" t="s">
        <v>765</v>
      </c>
      <c r="U314">
        <v>402</v>
      </c>
      <c r="V314" t="s">
        <v>664</v>
      </c>
      <c r="W314" t="s">
        <v>668</v>
      </c>
      <c r="X314" t="s">
        <v>224</v>
      </c>
    </row>
    <row r="315" spans="1:24">
      <c r="A315">
        <v>13527</v>
      </c>
      <c r="B315" t="s">
        <v>25</v>
      </c>
      <c r="C315" t="str">
        <f t="shared" si="8"/>
        <v>INTEGRA Saloon</v>
      </c>
      <c r="D315" t="str">
        <f t="shared" si="9"/>
        <v>1.5</v>
      </c>
      <c r="E315" t="s">
        <v>26</v>
      </c>
      <c r="F315">
        <v>198501</v>
      </c>
      <c r="G315">
        <v>199012</v>
      </c>
      <c r="H315">
        <v>63</v>
      </c>
      <c r="I315">
        <v>85</v>
      </c>
      <c r="J315">
        <v>1488</v>
      </c>
      <c r="K315">
        <v>2309164</v>
      </c>
      <c r="L315" t="s">
        <v>234</v>
      </c>
      <c r="M315" t="str">
        <f>"2201710"</f>
        <v>2201710</v>
      </c>
      <c r="N315" t="str">
        <f>"22-0171-0"</f>
        <v>22-0171-0</v>
      </c>
      <c r="O315" t="str">
        <f>""</f>
        <v/>
      </c>
      <c r="P315" t="s">
        <v>664</v>
      </c>
      <c r="Q315" t="str">
        <f>""</f>
        <v/>
      </c>
      <c r="R315" t="s">
        <v>677</v>
      </c>
      <c r="S315" t="s">
        <v>678</v>
      </c>
      <c r="T315" s="1" t="s">
        <v>766</v>
      </c>
      <c r="U315">
        <v>402</v>
      </c>
      <c r="V315" t="s">
        <v>664</v>
      </c>
      <c r="W315" t="s">
        <v>668</v>
      </c>
      <c r="X315" t="s">
        <v>224</v>
      </c>
    </row>
    <row r="316" spans="1:24">
      <c r="A316">
        <v>13527</v>
      </c>
      <c r="B316" t="s">
        <v>25</v>
      </c>
      <c r="C316" t="str">
        <f t="shared" si="8"/>
        <v>INTEGRA Saloon</v>
      </c>
      <c r="D316" t="str">
        <f t="shared" si="9"/>
        <v>1.5</v>
      </c>
      <c r="E316" t="s">
        <v>26</v>
      </c>
      <c r="F316">
        <v>198501</v>
      </c>
      <c r="G316">
        <v>199012</v>
      </c>
      <c r="H316">
        <v>63</v>
      </c>
      <c r="I316">
        <v>85</v>
      </c>
      <c r="J316">
        <v>1488</v>
      </c>
      <c r="K316">
        <v>2309289</v>
      </c>
      <c r="L316" t="s">
        <v>234</v>
      </c>
      <c r="M316" t="str">
        <f>"2202371"</f>
        <v>2202371</v>
      </c>
      <c r="N316" t="str">
        <f>"22-0237-1"</f>
        <v>22-0237-1</v>
      </c>
      <c r="O316" t="str">
        <f>""</f>
        <v/>
      </c>
      <c r="P316" t="s">
        <v>664</v>
      </c>
      <c r="Q316" t="str">
        <f>""</f>
        <v/>
      </c>
      <c r="R316" t="s">
        <v>680</v>
      </c>
      <c r="S316" t="s">
        <v>681</v>
      </c>
      <c r="T316" s="1" t="s">
        <v>767</v>
      </c>
      <c r="U316">
        <v>402</v>
      </c>
      <c r="V316" t="s">
        <v>664</v>
      </c>
      <c r="W316" t="s">
        <v>668</v>
      </c>
      <c r="X316" t="s">
        <v>224</v>
      </c>
    </row>
    <row r="317" spans="1:24">
      <c r="A317">
        <v>13527</v>
      </c>
      <c r="B317" t="s">
        <v>25</v>
      </c>
      <c r="C317" t="str">
        <f t="shared" si="8"/>
        <v>INTEGRA Saloon</v>
      </c>
      <c r="D317" t="str">
        <f t="shared" si="9"/>
        <v>1.5</v>
      </c>
      <c r="E317" t="s">
        <v>26</v>
      </c>
      <c r="F317">
        <v>198501</v>
      </c>
      <c r="G317">
        <v>199012</v>
      </c>
      <c r="H317">
        <v>63</v>
      </c>
      <c r="I317">
        <v>85</v>
      </c>
      <c r="J317">
        <v>1488</v>
      </c>
      <c r="K317">
        <v>2351958</v>
      </c>
      <c r="L317" t="s">
        <v>364</v>
      </c>
      <c r="M317" t="str">
        <f>"9457"</f>
        <v>9457</v>
      </c>
      <c r="N317" t="str">
        <f>"9457"</f>
        <v>9457</v>
      </c>
      <c r="O317" t="str">
        <f>"20099"</f>
        <v>20099</v>
      </c>
      <c r="P317" t="s">
        <v>664</v>
      </c>
      <c r="Q317" t="str">
        <f>"4031185142014"</f>
        <v>4031185142014</v>
      </c>
      <c r="R317" t="s">
        <v>768</v>
      </c>
      <c r="T317" s="1" t="s">
        <v>769</v>
      </c>
      <c r="U317">
        <v>402</v>
      </c>
      <c r="V317" t="s">
        <v>664</v>
      </c>
      <c r="W317" t="s">
        <v>668</v>
      </c>
      <c r="X317" t="s">
        <v>224</v>
      </c>
    </row>
    <row r="318" spans="1:24">
      <c r="A318">
        <v>13527</v>
      </c>
      <c r="B318" t="s">
        <v>25</v>
      </c>
      <c r="C318" t="str">
        <f t="shared" si="8"/>
        <v>INTEGRA Saloon</v>
      </c>
      <c r="D318" t="str">
        <f t="shared" si="9"/>
        <v>1.5</v>
      </c>
      <c r="E318" t="s">
        <v>26</v>
      </c>
      <c r="F318">
        <v>198501</v>
      </c>
      <c r="G318">
        <v>199012</v>
      </c>
      <c r="H318">
        <v>63</v>
      </c>
      <c r="I318">
        <v>85</v>
      </c>
      <c r="J318">
        <v>1488</v>
      </c>
      <c r="K318">
        <v>2352280</v>
      </c>
      <c r="L318" t="s">
        <v>364</v>
      </c>
      <c r="M318" t="str">
        <f>"9652"</f>
        <v>9652</v>
      </c>
      <c r="N318" t="str">
        <f>"9652"</f>
        <v>9652</v>
      </c>
      <c r="O318" t="str">
        <f>""</f>
        <v/>
      </c>
      <c r="P318" t="s">
        <v>664</v>
      </c>
      <c r="Q318" t="str">
        <f>"4031185140560"</f>
        <v>4031185140560</v>
      </c>
      <c r="R318" t="s">
        <v>770</v>
      </c>
      <c r="T318" s="1" t="s">
        <v>771</v>
      </c>
      <c r="U318">
        <v>402</v>
      </c>
      <c r="V318" t="s">
        <v>664</v>
      </c>
      <c r="W318" t="s">
        <v>668</v>
      </c>
      <c r="X318" t="s">
        <v>224</v>
      </c>
    </row>
    <row r="319" spans="1:24">
      <c r="A319">
        <v>13527</v>
      </c>
      <c r="B319" t="s">
        <v>25</v>
      </c>
      <c r="C319" t="str">
        <f t="shared" si="8"/>
        <v>INTEGRA Saloon</v>
      </c>
      <c r="D319" t="str">
        <f t="shared" si="9"/>
        <v>1.5</v>
      </c>
      <c r="E319" t="s">
        <v>26</v>
      </c>
      <c r="F319">
        <v>198501</v>
      </c>
      <c r="G319">
        <v>199012</v>
      </c>
      <c r="H319">
        <v>63</v>
      </c>
      <c r="I319">
        <v>85</v>
      </c>
      <c r="J319">
        <v>1488</v>
      </c>
      <c r="K319">
        <v>2352295</v>
      </c>
      <c r="L319" t="s">
        <v>364</v>
      </c>
      <c r="M319" t="str">
        <f>"9672"</f>
        <v>9672</v>
      </c>
      <c r="N319" t="str">
        <f>"9672"</f>
        <v>9672</v>
      </c>
      <c r="O319" t="str">
        <f>""</f>
        <v/>
      </c>
      <c r="P319" t="s">
        <v>664</v>
      </c>
      <c r="Q319" t="str">
        <f>"4031185142106"</f>
        <v>4031185142106</v>
      </c>
      <c r="R319" t="s">
        <v>772</v>
      </c>
      <c r="T319" s="1" t="s">
        <v>773</v>
      </c>
      <c r="U319">
        <v>402</v>
      </c>
      <c r="V319" t="s">
        <v>664</v>
      </c>
      <c r="W319" t="s">
        <v>668</v>
      </c>
      <c r="X319" t="s">
        <v>224</v>
      </c>
    </row>
    <row r="320" spans="1:24">
      <c r="A320">
        <v>13527</v>
      </c>
      <c r="B320" t="s">
        <v>25</v>
      </c>
      <c r="C320" t="str">
        <f t="shared" si="8"/>
        <v>INTEGRA Saloon</v>
      </c>
      <c r="D320" t="str">
        <f t="shared" si="9"/>
        <v>1.5</v>
      </c>
      <c r="E320" t="s">
        <v>26</v>
      </c>
      <c r="F320">
        <v>198501</v>
      </c>
      <c r="G320">
        <v>199012</v>
      </c>
      <c r="H320">
        <v>63</v>
      </c>
      <c r="I320">
        <v>85</v>
      </c>
      <c r="J320">
        <v>1488</v>
      </c>
      <c r="K320">
        <v>2545953</v>
      </c>
      <c r="L320" t="s">
        <v>371</v>
      </c>
      <c r="M320" t="str">
        <f>"222802"</f>
        <v>222802</v>
      </c>
      <c r="N320" t="str">
        <f>"2228.02"</f>
        <v>2228.02</v>
      </c>
      <c r="O320" t="str">
        <f>"PSX222802"</f>
        <v>PSX222802</v>
      </c>
      <c r="P320" t="s">
        <v>664</v>
      </c>
      <c r="Q320" t="str">
        <f>"8427975255747"</f>
        <v>8427975255747</v>
      </c>
      <c r="R320" t="s">
        <v>774</v>
      </c>
      <c r="T320" s="1" t="s">
        <v>775</v>
      </c>
      <c r="U320">
        <v>402</v>
      </c>
      <c r="V320" t="s">
        <v>664</v>
      </c>
      <c r="W320" t="s">
        <v>668</v>
      </c>
      <c r="X320" t="s">
        <v>224</v>
      </c>
    </row>
    <row r="321" spans="1:24">
      <c r="A321">
        <v>13527</v>
      </c>
      <c r="B321" t="s">
        <v>25</v>
      </c>
      <c r="C321" t="str">
        <f t="shared" si="8"/>
        <v>INTEGRA Saloon</v>
      </c>
      <c r="D321" t="str">
        <f t="shared" si="9"/>
        <v>1.5</v>
      </c>
      <c r="E321" t="s">
        <v>26</v>
      </c>
      <c r="F321">
        <v>198501</v>
      </c>
      <c r="G321">
        <v>199012</v>
      </c>
      <c r="H321">
        <v>63</v>
      </c>
      <c r="I321">
        <v>85</v>
      </c>
      <c r="J321">
        <v>1488</v>
      </c>
      <c r="K321">
        <v>2545961</v>
      </c>
      <c r="L321" t="s">
        <v>371</v>
      </c>
      <c r="M321" t="str">
        <f>"223320"</f>
        <v>223320</v>
      </c>
      <c r="N321" t="str">
        <f>"2233.20"</f>
        <v>2233.20</v>
      </c>
      <c r="O321" t="str">
        <f>"PSX223320"</f>
        <v>PSX223320</v>
      </c>
      <c r="P321" t="s">
        <v>664</v>
      </c>
      <c r="Q321" t="str">
        <f>"8427975255839"</f>
        <v>8427975255839</v>
      </c>
      <c r="R321" s="1" t="s">
        <v>776</v>
      </c>
      <c r="T321" s="1" t="s">
        <v>777</v>
      </c>
      <c r="U321">
        <v>402</v>
      </c>
      <c r="V321" t="s">
        <v>664</v>
      </c>
      <c r="W321" t="s">
        <v>668</v>
      </c>
      <c r="X321" t="s">
        <v>224</v>
      </c>
    </row>
    <row r="322" spans="1:24">
      <c r="A322">
        <v>13527</v>
      </c>
      <c r="B322" t="s">
        <v>25</v>
      </c>
      <c r="C322" t="str">
        <f t="shared" ref="C322:C385" si="10">"INTEGRA Saloon"</f>
        <v>INTEGRA Saloon</v>
      </c>
      <c r="D322" t="str">
        <f t="shared" ref="D322:D385" si="11">"1.5"</f>
        <v>1.5</v>
      </c>
      <c r="E322" t="s">
        <v>26</v>
      </c>
      <c r="F322">
        <v>198501</v>
      </c>
      <c r="G322">
        <v>199012</v>
      </c>
      <c r="H322">
        <v>63</v>
      </c>
      <c r="I322">
        <v>85</v>
      </c>
      <c r="J322">
        <v>1488</v>
      </c>
      <c r="K322">
        <v>2546562</v>
      </c>
      <c r="L322" t="s">
        <v>371</v>
      </c>
      <c r="M322" t="str">
        <f>"264610"</f>
        <v>264610</v>
      </c>
      <c r="N322" t="str">
        <f>"2646.10"</f>
        <v>2646.10</v>
      </c>
      <c r="O322" t="str">
        <f>"PSX264610"</f>
        <v>PSX264610</v>
      </c>
      <c r="P322" t="s">
        <v>664</v>
      </c>
      <c r="Q322" t="str">
        <f>"8427975262202"</f>
        <v>8427975262202</v>
      </c>
      <c r="R322" s="1" t="s">
        <v>778</v>
      </c>
      <c r="T322" s="1" t="s">
        <v>779</v>
      </c>
      <c r="U322">
        <v>402</v>
      </c>
      <c r="V322" t="s">
        <v>664</v>
      </c>
      <c r="W322" t="s">
        <v>668</v>
      </c>
      <c r="X322" t="s">
        <v>224</v>
      </c>
    </row>
    <row r="323" spans="1:24">
      <c r="A323">
        <v>13527</v>
      </c>
      <c r="B323" t="s">
        <v>25</v>
      </c>
      <c r="C323" t="str">
        <f t="shared" si="10"/>
        <v>INTEGRA Saloon</v>
      </c>
      <c r="D323" t="str">
        <f t="shared" si="11"/>
        <v>1.5</v>
      </c>
      <c r="E323" t="s">
        <v>26</v>
      </c>
      <c r="F323">
        <v>198501</v>
      </c>
      <c r="G323">
        <v>199012</v>
      </c>
      <c r="H323">
        <v>63</v>
      </c>
      <c r="I323">
        <v>85</v>
      </c>
      <c r="J323">
        <v>1488</v>
      </c>
      <c r="K323">
        <v>2550450</v>
      </c>
      <c r="L323" t="s">
        <v>374</v>
      </c>
      <c r="M323" t="str">
        <f>"022802"</f>
        <v>022802</v>
      </c>
      <c r="N323" t="str">
        <f>"0228.02"</f>
        <v>0228.02</v>
      </c>
      <c r="O323" t="str">
        <f>"PCA022802"</f>
        <v>PCA022802</v>
      </c>
      <c r="P323" t="s">
        <v>664</v>
      </c>
      <c r="Q323" t="str">
        <f>"8427975005663"</f>
        <v>8427975005663</v>
      </c>
      <c r="R323" t="s">
        <v>774</v>
      </c>
      <c r="T323" s="1" t="s">
        <v>780</v>
      </c>
      <c r="U323">
        <v>402</v>
      </c>
      <c r="V323" t="s">
        <v>664</v>
      </c>
      <c r="W323" t="s">
        <v>668</v>
      </c>
      <c r="X323" t="s">
        <v>224</v>
      </c>
    </row>
    <row r="324" spans="1:24">
      <c r="A324">
        <v>13527</v>
      </c>
      <c r="B324" t="s">
        <v>25</v>
      </c>
      <c r="C324" t="str">
        <f t="shared" si="10"/>
        <v>INTEGRA Saloon</v>
      </c>
      <c r="D324" t="str">
        <f t="shared" si="11"/>
        <v>1.5</v>
      </c>
      <c r="E324" t="s">
        <v>26</v>
      </c>
      <c r="F324">
        <v>198501</v>
      </c>
      <c r="G324">
        <v>199012</v>
      </c>
      <c r="H324">
        <v>63</v>
      </c>
      <c r="I324">
        <v>85</v>
      </c>
      <c r="J324">
        <v>1488</v>
      </c>
      <c r="K324">
        <v>2550458</v>
      </c>
      <c r="L324" t="s">
        <v>374</v>
      </c>
      <c r="M324" t="str">
        <f>"023320"</f>
        <v>023320</v>
      </c>
      <c r="N324" t="str">
        <f>"0233.20"</f>
        <v>0233.20</v>
      </c>
      <c r="O324" t="str">
        <f>"PCA023320"</f>
        <v>PCA023320</v>
      </c>
      <c r="P324" t="s">
        <v>664</v>
      </c>
      <c r="Q324" t="str">
        <f>"8427975005755"</f>
        <v>8427975005755</v>
      </c>
      <c r="R324" s="1" t="s">
        <v>776</v>
      </c>
      <c r="T324" s="1" t="s">
        <v>781</v>
      </c>
      <c r="U324">
        <v>402</v>
      </c>
      <c r="V324" t="s">
        <v>664</v>
      </c>
      <c r="W324" t="s">
        <v>668</v>
      </c>
      <c r="X324" t="s">
        <v>224</v>
      </c>
    </row>
    <row r="325" spans="1:24">
      <c r="A325">
        <v>13527</v>
      </c>
      <c r="B325" t="s">
        <v>25</v>
      </c>
      <c r="C325" t="str">
        <f t="shared" si="10"/>
        <v>INTEGRA Saloon</v>
      </c>
      <c r="D325" t="str">
        <f t="shared" si="11"/>
        <v>1.5</v>
      </c>
      <c r="E325" t="s">
        <v>26</v>
      </c>
      <c r="F325">
        <v>198501</v>
      </c>
      <c r="G325">
        <v>199012</v>
      </c>
      <c r="H325">
        <v>63</v>
      </c>
      <c r="I325">
        <v>85</v>
      </c>
      <c r="J325">
        <v>1488</v>
      </c>
      <c r="K325">
        <v>2551060</v>
      </c>
      <c r="L325" t="s">
        <v>374</v>
      </c>
      <c r="M325" t="str">
        <f>"064610"</f>
        <v>064610</v>
      </c>
      <c r="N325" t="str">
        <f>"0646.10"</f>
        <v>0646.10</v>
      </c>
      <c r="O325" t="str">
        <f>"PCA064610"</f>
        <v>PCA064610</v>
      </c>
      <c r="P325" t="s">
        <v>664</v>
      </c>
      <c r="Q325" t="str">
        <f>"8427975012210"</f>
        <v>8427975012210</v>
      </c>
      <c r="R325" t="s">
        <v>782</v>
      </c>
      <c r="T325" s="1" t="s">
        <v>783</v>
      </c>
      <c r="U325">
        <v>402</v>
      </c>
      <c r="V325" t="s">
        <v>664</v>
      </c>
      <c r="W325" t="s">
        <v>668</v>
      </c>
      <c r="X325" t="s">
        <v>224</v>
      </c>
    </row>
    <row r="326" spans="1:24">
      <c r="A326">
        <v>13527</v>
      </c>
      <c r="B326" t="s">
        <v>25</v>
      </c>
      <c r="C326" t="str">
        <f t="shared" si="10"/>
        <v>INTEGRA Saloon</v>
      </c>
      <c r="D326" t="str">
        <f t="shared" si="11"/>
        <v>1.5</v>
      </c>
      <c r="E326" t="s">
        <v>26</v>
      </c>
      <c r="F326">
        <v>198501</v>
      </c>
      <c r="G326">
        <v>199012</v>
      </c>
      <c r="H326">
        <v>63</v>
      </c>
      <c r="I326">
        <v>85</v>
      </c>
      <c r="J326">
        <v>1488</v>
      </c>
      <c r="K326">
        <v>2587918</v>
      </c>
      <c r="L326" t="s">
        <v>784</v>
      </c>
      <c r="M326" t="str">
        <f>"180750"</f>
        <v>180750</v>
      </c>
      <c r="N326" t="str">
        <f>"180750"</f>
        <v>180750</v>
      </c>
      <c r="O326" t="str">
        <f>"20099"</f>
        <v>20099</v>
      </c>
      <c r="P326" t="s">
        <v>664</v>
      </c>
      <c r="Q326" t="str">
        <f>"8424073010063"</f>
        <v>8424073010063</v>
      </c>
      <c r="R326" t="s">
        <v>785</v>
      </c>
      <c r="S326" t="s">
        <v>726</v>
      </c>
      <c r="T326" s="1" t="s">
        <v>786</v>
      </c>
      <c r="U326">
        <v>402</v>
      </c>
      <c r="V326" t="s">
        <v>664</v>
      </c>
      <c r="W326" t="s">
        <v>668</v>
      </c>
      <c r="X326" t="s">
        <v>224</v>
      </c>
    </row>
    <row r="327" spans="1:24">
      <c r="A327">
        <v>13527</v>
      </c>
      <c r="B327" t="s">
        <v>25</v>
      </c>
      <c r="C327" t="str">
        <f t="shared" si="10"/>
        <v>INTEGRA Saloon</v>
      </c>
      <c r="D327" t="str">
        <f t="shared" si="11"/>
        <v>1.5</v>
      </c>
      <c r="E327" t="s">
        <v>26</v>
      </c>
      <c r="F327">
        <v>198501</v>
      </c>
      <c r="G327">
        <v>199012</v>
      </c>
      <c r="H327">
        <v>63</v>
      </c>
      <c r="I327">
        <v>85</v>
      </c>
      <c r="J327">
        <v>1488</v>
      </c>
      <c r="K327">
        <v>2587922</v>
      </c>
      <c r="L327" t="s">
        <v>784</v>
      </c>
      <c r="M327" t="str">
        <f>"180753"</f>
        <v>180753</v>
      </c>
      <c r="N327" t="str">
        <f>"180753"</f>
        <v>180753</v>
      </c>
      <c r="O327" t="str">
        <f>"21312"</f>
        <v>21312</v>
      </c>
      <c r="P327" t="s">
        <v>664</v>
      </c>
      <c r="Q327" t="str">
        <f>"8424073010094"</f>
        <v>8424073010094</v>
      </c>
      <c r="R327" s="1" t="s">
        <v>787</v>
      </c>
      <c r="S327" t="s">
        <v>732</v>
      </c>
      <c r="T327" s="1" t="s">
        <v>788</v>
      </c>
      <c r="U327">
        <v>402</v>
      </c>
      <c r="V327" t="s">
        <v>664</v>
      </c>
      <c r="W327" t="s">
        <v>668</v>
      </c>
      <c r="X327" t="s">
        <v>224</v>
      </c>
    </row>
    <row r="328" spans="1:24">
      <c r="A328">
        <v>13527</v>
      </c>
      <c r="B328" t="s">
        <v>25</v>
      </c>
      <c r="C328" t="str">
        <f t="shared" si="10"/>
        <v>INTEGRA Saloon</v>
      </c>
      <c r="D328" t="str">
        <f t="shared" si="11"/>
        <v>1.5</v>
      </c>
      <c r="E328" t="s">
        <v>26</v>
      </c>
      <c r="F328">
        <v>198501</v>
      </c>
      <c r="G328">
        <v>199012</v>
      </c>
      <c r="H328">
        <v>63</v>
      </c>
      <c r="I328">
        <v>85</v>
      </c>
      <c r="J328">
        <v>1488</v>
      </c>
      <c r="K328">
        <v>2587923</v>
      </c>
      <c r="L328" t="s">
        <v>784</v>
      </c>
      <c r="M328" t="str">
        <f>"180753701"</f>
        <v>180753701</v>
      </c>
      <c r="N328" t="str">
        <f>"180753-701"</f>
        <v>180753-701</v>
      </c>
      <c r="O328" t="str">
        <f>"21312"</f>
        <v>21312</v>
      </c>
      <c r="P328" t="s">
        <v>664</v>
      </c>
      <c r="Q328" t="str">
        <f>"8424073085689"</f>
        <v>8424073085689</v>
      </c>
      <c r="R328" s="1" t="s">
        <v>789</v>
      </c>
      <c r="S328" t="s">
        <v>732</v>
      </c>
      <c r="T328" s="1" t="s">
        <v>790</v>
      </c>
      <c r="U328">
        <v>402</v>
      </c>
      <c r="V328" t="s">
        <v>664</v>
      </c>
      <c r="W328" t="s">
        <v>668</v>
      </c>
      <c r="X328" t="s">
        <v>224</v>
      </c>
    </row>
    <row r="329" spans="1:24">
      <c r="A329">
        <v>13527</v>
      </c>
      <c r="B329" t="s">
        <v>25</v>
      </c>
      <c r="C329" t="str">
        <f t="shared" si="10"/>
        <v>INTEGRA Saloon</v>
      </c>
      <c r="D329" t="str">
        <f t="shared" si="11"/>
        <v>1.5</v>
      </c>
      <c r="E329" t="s">
        <v>26</v>
      </c>
      <c r="F329">
        <v>198501</v>
      </c>
      <c r="G329">
        <v>199012</v>
      </c>
      <c r="H329">
        <v>63</v>
      </c>
      <c r="I329">
        <v>85</v>
      </c>
      <c r="J329">
        <v>1488</v>
      </c>
      <c r="K329">
        <v>2588074</v>
      </c>
      <c r="L329" t="s">
        <v>784</v>
      </c>
      <c r="M329" t="str">
        <f>"180962"</f>
        <v>180962</v>
      </c>
      <c r="N329" t="str">
        <f>"180962"</f>
        <v>180962</v>
      </c>
      <c r="O329" t="str">
        <f>"21446"</f>
        <v>21446</v>
      </c>
      <c r="P329" t="s">
        <v>664</v>
      </c>
      <c r="Q329" t="str">
        <f>"8424073015679"</f>
        <v>8424073015679</v>
      </c>
      <c r="R329" t="s">
        <v>791</v>
      </c>
      <c r="S329" t="s">
        <v>729</v>
      </c>
      <c r="T329" s="1" t="s">
        <v>792</v>
      </c>
      <c r="U329">
        <v>402</v>
      </c>
      <c r="V329" t="s">
        <v>664</v>
      </c>
      <c r="W329" t="s">
        <v>668</v>
      </c>
      <c r="X329" t="s">
        <v>224</v>
      </c>
    </row>
    <row r="330" spans="1:24">
      <c r="A330">
        <v>13527</v>
      </c>
      <c r="B330" t="s">
        <v>25</v>
      </c>
      <c r="C330" t="str">
        <f t="shared" si="10"/>
        <v>INTEGRA Saloon</v>
      </c>
      <c r="D330" t="str">
        <f t="shared" si="11"/>
        <v>1.5</v>
      </c>
      <c r="E330" t="s">
        <v>26</v>
      </c>
      <c r="F330">
        <v>198501</v>
      </c>
      <c r="G330">
        <v>199012</v>
      </c>
      <c r="H330">
        <v>63</v>
      </c>
      <c r="I330">
        <v>85</v>
      </c>
      <c r="J330">
        <v>1488</v>
      </c>
      <c r="K330">
        <v>2607185</v>
      </c>
      <c r="L330" t="s">
        <v>377</v>
      </c>
      <c r="M330" t="str">
        <f>"GDB3034"</f>
        <v>GDB3034</v>
      </c>
      <c r="N330" t="str">
        <f>"GDB3034"</f>
        <v>GDB3034</v>
      </c>
      <c r="O330" t="str">
        <f>"21446"</f>
        <v>21446</v>
      </c>
      <c r="P330" t="s">
        <v>664</v>
      </c>
      <c r="Q330" t="str">
        <f>"3322937118359"</f>
        <v>3322937118359</v>
      </c>
      <c r="R330" t="s">
        <v>793</v>
      </c>
      <c r="S330" t="s">
        <v>678</v>
      </c>
      <c r="T330" s="1" t="s">
        <v>794</v>
      </c>
      <c r="U330">
        <v>402</v>
      </c>
      <c r="V330" t="s">
        <v>664</v>
      </c>
      <c r="W330" t="s">
        <v>668</v>
      </c>
      <c r="X330" t="s">
        <v>224</v>
      </c>
    </row>
    <row r="331" spans="1:24">
      <c r="A331">
        <v>13527</v>
      </c>
      <c r="B331" t="s">
        <v>25</v>
      </c>
      <c r="C331" t="str">
        <f t="shared" si="10"/>
        <v>INTEGRA Saloon</v>
      </c>
      <c r="D331" t="str">
        <f t="shared" si="11"/>
        <v>1.5</v>
      </c>
      <c r="E331" t="s">
        <v>26</v>
      </c>
      <c r="F331">
        <v>198501</v>
      </c>
      <c r="G331">
        <v>199012</v>
      </c>
      <c r="H331">
        <v>63</v>
      </c>
      <c r="I331">
        <v>85</v>
      </c>
      <c r="J331">
        <v>1488</v>
      </c>
      <c r="K331">
        <v>2607917</v>
      </c>
      <c r="L331" t="s">
        <v>377</v>
      </c>
      <c r="M331" t="str">
        <f>"GDB499"</f>
        <v>GDB499</v>
      </c>
      <c r="N331" t="str">
        <f>"GDB499"</f>
        <v>GDB499</v>
      </c>
      <c r="O331" t="str">
        <f>"21312"</f>
        <v>21312</v>
      </c>
      <c r="P331" t="s">
        <v>664</v>
      </c>
      <c r="Q331" t="str">
        <f>"3322936404996"</f>
        <v>3322936404996</v>
      </c>
      <c r="R331" t="s">
        <v>795</v>
      </c>
      <c r="S331" t="s">
        <v>675</v>
      </c>
      <c r="T331" s="1" t="s">
        <v>796</v>
      </c>
      <c r="U331">
        <v>402</v>
      </c>
      <c r="V331" t="s">
        <v>664</v>
      </c>
      <c r="W331" t="s">
        <v>668</v>
      </c>
      <c r="X331" t="s">
        <v>224</v>
      </c>
    </row>
    <row r="332" spans="1:24">
      <c r="A332">
        <v>13527</v>
      </c>
      <c r="B332" t="s">
        <v>25</v>
      </c>
      <c r="C332" t="str">
        <f t="shared" si="10"/>
        <v>INTEGRA Saloon</v>
      </c>
      <c r="D332" t="str">
        <f t="shared" si="11"/>
        <v>1.5</v>
      </c>
      <c r="E332" t="s">
        <v>26</v>
      </c>
      <c r="F332">
        <v>198501</v>
      </c>
      <c r="G332">
        <v>199012</v>
      </c>
      <c r="H332">
        <v>63</v>
      </c>
      <c r="I332">
        <v>85</v>
      </c>
      <c r="J332">
        <v>1488</v>
      </c>
      <c r="K332">
        <v>2608633</v>
      </c>
      <c r="L332" t="s">
        <v>377</v>
      </c>
      <c r="M332" t="str">
        <f>"GDB925"</f>
        <v>GDB925</v>
      </c>
      <c r="N332" t="str">
        <f>"GDB925"</f>
        <v>GDB925</v>
      </c>
      <c r="O332" t="str">
        <f>"20099"</f>
        <v>20099</v>
      </c>
      <c r="P332" t="s">
        <v>664</v>
      </c>
      <c r="Q332" t="str">
        <f>"3322936409250"</f>
        <v>3322936409250</v>
      </c>
      <c r="R332" t="s">
        <v>797</v>
      </c>
      <c r="S332" t="s">
        <v>316</v>
      </c>
      <c r="T332" s="1" t="s">
        <v>798</v>
      </c>
      <c r="U332">
        <v>402</v>
      </c>
      <c r="V332" t="s">
        <v>664</v>
      </c>
      <c r="W332" t="s">
        <v>668</v>
      </c>
      <c r="X332" t="s">
        <v>224</v>
      </c>
    </row>
    <row r="333" spans="1:24">
      <c r="A333">
        <v>13527</v>
      </c>
      <c r="B333" t="s">
        <v>25</v>
      </c>
      <c r="C333" t="str">
        <f t="shared" si="10"/>
        <v>INTEGRA Saloon</v>
      </c>
      <c r="D333" t="str">
        <f t="shared" si="11"/>
        <v>1.5</v>
      </c>
      <c r="E333" t="s">
        <v>26</v>
      </c>
      <c r="F333">
        <v>198501</v>
      </c>
      <c r="G333">
        <v>199012</v>
      </c>
      <c r="H333">
        <v>63</v>
      </c>
      <c r="I333">
        <v>85</v>
      </c>
      <c r="J333">
        <v>1488</v>
      </c>
      <c r="K333">
        <v>2655365</v>
      </c>
      <c r="L333" t="s">
        <v>799</v>
      </c>
      <c r="M333" t="str">
        <f>"ASN200"</f>
        <v>ASN200</v>
      </c>
      <c r="N333" t="str">
        <f>"ASN-200"</f>
        <v>ASN-200</v>
      </c>
      <c r="O333" t="str">
        <f>""</f>
        <v/>
      </c>
      <c r="P333" t="s">
        <v>664</v>
      </c>
      <c r="Q333" t="str">
        <f>"5411450605984"</f>
        <v>5411450605984</v>
      </c>
      <c r="R333" t="s">
        <v>800</v>
      </c>
      <c r="S333" t="s">
        <v>678</v>
      </c>
      <c r="T333" s="1" t="s">
        <v>801</v>
      </c>
      <c r="U333">
        <v>402</v>
      </c>
      <c r="V333" t="s">
        <v>664</v>
      </c>
      <c r="W333" t="s">
        <v>668</v>
      </c>
      <c r="X333" t="s">
        <v>224</v>
      </c>
    </row>
    <row r="334" spans="1:24">
      <c r="A334">
        <v>13527</v>
      </c>
      <c r="B334" t="s">
        <v>25</v>
      </c>
      <c r="C334" t="str">
        <f t="shared" si="10"/>
        <v>INTEGRA Saloon</v>
      </c>
      <c r="D334" t="str">
        <f t="shared" si="11"/>
        <v>1.5</v>
      </c>
      <c r="E334" t="s">
        <v>26</v>
      </c>
      <c r="F334">
        <v>198501</v>
      </c>
      <c r="G334">
        <v>199012</v>
      </c>
      <c r="H334">
        <v>63</v>
      </c>
      <c r="I334">
        <v>85</v>
      </c>
      <c r="J334">
        <v>1488</v>
      </c>
      <c r="K334">
        <v>2656058</v>
      </c>
      <c r="L334" t="s">
        <v>799</v>
      </c>
      <c r="M334" t="str">
        <f>"C1N013"</f>
        <v>C1N013</v>
      </c>
      <c r="N334" t="str">
        <f>"C1N013"</f>
        <v>C1N013</v>
      </c>
      <c r="O334" t="str">
        <f>""</f>
        <v/>
      </c>
      <c r="P334" t="s">
        <v>664</v>
      </c>
      <c r="Q334" t="str">
        <f>""</f>
        <v/>
      </c>
      <c r="R334" t="s">
        <v>802</v>
      </c>
      <c r="S334" t="s">
        <v>678</v>
      </c>
      <c r="T334" s="1" t="s">
        <v>803</v>
      </c>
      <c r="U334">
        <v>402</v>
      </c>
      <c r="V334" t="s">
        <v>664</v>
      </c>
      <c r="W334" t="s">
        <v>668</v>
      </c>
      <c r="X334" t="s">
        <v>224</v>
      </c>
    </row>
    <row r="335" spans="1:24">
      <c r="A335">
        <v>13527</v>
      </c>
      <c r="B335" t="s">
        <v>25</v>
      </c>
      <c r="C335" t="str">
        <f t="shared" si="10"/>
        <v>INTEGRA Saloon</v>
      </c>
      <c r="D335" t="str">
        <f t="shared" si="11"/>
        <v>1.5</v>
      </c>
      <c r="E335" t="s">
        <v>26</v>
      </c>
      <c r="F335">
        <v>198501</v>
      </c>
      <c r="G335">
        <v>199012</v>
      </c>
      <c r="H335">
        <v>63</v>
      </c>
      <c r="I335">
        <v>85</v>
      </c>
      <c r="J335">
        <v>1488</v>
      </c>
      <c r="K335">
        <v>2716064</v>
      </c>
      <c r="L335" t="s">
        <v>804</v>
      </c>
      <c r="M335" t="str">
        <f>"JQ101944"</f>
        <v>JQ101944</v>
      </c>
      <c r="N335" t="str">
        <f>"JQ101944"</f>
        <v>JQ101944</v>
      </c>
      <c r="O335" t="str">
        <f>""</f>
        <v/>
      </c>
      <c r="P335" t="s">
        <v>664</v>
      </c>
      <c r="Q335" t="str">
        <f>"5908242626826"</f>
        <v>5908242626826</v>
      </c>
      <c r="R335" t="s">
        <v>805</v>
      </c>
      <c r="T335" s="1" t="s">
        <v>806</v>
      </c>
      <c r="U335">
        <v>402</v>
      </c>
      <c r="V335" t="s">
        <v>664</v>
      </c>
      <c r="W335" t="s">
        <v>668</v>
      </c>
      <c r="X335" t="s">
        <v>224</v>
      </c>
    </row>
    <row r="336" spans="1:24">
      <c r="A336">
        <v>13527</v>
      </c>
      <c r="B336" t="s">
        <v>25</v>
      </c>
      <c r="C336" t="str">
        <f t="shared" si="10"/>
        <v>INTEGRA Saloon</v>
      </c>
      <c r="D336" t="str">
        <f t="shared" si="11"/>
        <v>1.5</v>
      </c>
      <c r="E336" t="s">
        <v>26</v>
      </c>
      <c r="F336">
        <v>198501</v>
      </c>
      <c r="G336">
        <v>199012</v>
      </c>
      <c r="H336">
        <v>63</v>
      </c>
      <c r="I336">
        <v>85</v>
      </c>
      <c r="J336">
        <v>1488</v>
      </c>
      <c r="K336">
        <v>2718639</v>
      </c>
      <c r="L336" t="s">
        <v>149</v>
      </c>
      <c r="M336" t="str">
        <f>"B110662"</f>
        <v>B110662</v>
      </c>
      <c r="N336" t="str">
        <f>"B110662"</f>
        <v>B110662</v>
      </c>
      <c r="O336" t="str">
        <f>""</f>
        <v/>
      </c>
      <c r="P336" t="s">
        <v>664</v>
      </c>
      <c r="Q336" t="str">
        <f>"5901225711090"</f>
        <v>5901225711090</v>
      </c>
      <c r="R336" t="s">
        <v>807</v>
      </c>
      <c r="T336" s="1" t="s">
        <v>808</v>
      </c>
      <c r="U336">
        <v>402</v>
      </c>
      <c r="V336" t="s">
        <v>664</v>
      </c>
      <c r="W336" t="s">
        <v>668</v>
      </c>
      <c r="X336" t="s">
        <v>224</v>
      </c>
    </row>
    <row r="337" spans="1:24">
      <c r="A337">
        <v>13527</v>
      </c>
      <c r="B337" t="s">
        <v>25</v>
      </c>
      <c r="C337" t="str">
        <f t="shared" si="10"/>
        <v>INTEGRA Saloon</v>
      </c>
      <c r="D337" t="str">
        <f t="shared" si="11"/>
        <v>1.5</v>
      </c>
      <c r="E337" t="s">
        <v>26</v>
      </c>
      <c r="F337">
        <v>198501</v>
      </c>
      <c r="G337">
        <v>199012</v>
      </c>
      <c r="H337">
        <v>63</v>
      </c>
      <c r="I337">
        <v>85</v>
      </c>
      <c r="J337">
        <v>1488</v>
      </c>
      <c r="K337">
        <v>2784920</v>
      </c>
      <c r="L337" t="s">
        <v>236</v>
      </c>
      <c r="M337" t="str">
        <f>"05P073"</f>
        <v>05P073</v>
      </c>
      <c r="N337" t="str">
        <f>"05P073"</f>
        <v>05P073</v>
      </c>
      <c r="O337" t="str">
        <f>"20099"</f>
        <v>20099</v>
      </c>
      <c r="P337" t="s">
        <v>664</v>
      </c>
      <c r="Q337" t="str">
        <f>"8032532061053"</f>
        <v>8032532061053</v>
      </c>
      <c r="R337" t="s">
        <v>809</v>
      </c>
      <c r="S337" t="s">
        <v>810</v>
      </c>
      <c r="T337" s="1" t="s">
        <v>811</v>
      </c>
      <c r="U337">
        <v>402</v>
      </c>
      <c r="V337" t="s">
        <v>664</v>
      </c>
      <c r="W337" t="s">
        <v>668</v>
      </c>
      <c r="X337" t="s">
        <v>224</v>
      </c>
    </row>
    <row r="338" spans="1:24">
      <c r="A338">
        <v>13527</v>
      </c>
      <c r="B338" t="s">
        <v>25</v>
      </c>
      <c r="C338" t="str">
        <f t="shared" si="10"/>
        <v>INTEGRA Saloon</v>
      </c>
      <c r="D338" t="str">
        <f t="shared" si="11"/>
        <v>1.5</v>
      </c>
      <c r="E338" t="s">
        <v>26</v>
      </c>
      <c r="F338">
        <v>198501</v>
      </c>
      <c r="G338">
        <v>199012</v>
      </c>
      <c r="H338">
        <v>63</v>
      </c>
      <c r="I338">
        <v>85</v>
      </c>
      <c r="J338">
        <v>1488</v>
      </c>
      <c r="K338">
        <v>2786042</v>
      </c>
      <c r="L338" t="s">
        <v>236</v>
      </c>
      <c r="M338" t="str">
        <f>"05P506"</f>
        <v>05P506</v>
      </c>
      <c r="N338" t="str">
        <f>"05P506"</f>
        <v>05P506</v>
      </c>
      <c r="O338" t="str">
        <f>"21312"</f>
        <v>21312</v>
      </c>
      <c r="P338" t="s">
        <v>664</v>
      </c>
      <c r="Q338" t="str">
        <f>"8032532062470"</f>
        <v>8032532062470</v>
      </c>
      <c r="R338" t="s">
        <v>812</v>
      </c>
      <c r="S338" t="s">
        <v>813</v>
      </c>
      <c r="T338" s="1" t="s">
        <v>814</v>
      </c>
      <c r="U338">
        <v>402</v>
      </c>
      <c r="V338" t="s">
        <v>664</v>
      </c>
      <c r="W338" t="s">
        <v>668</v>
      </c>
      <c r="X338" t="s">
        <v>224</v>
      </c>
    </row>
    <row r="339" spans="1:24">
      <c r="A339">
        <v>13527</v>
      </c>
      <c r="B339" t="s">
        <v>25</v>
      </c>
      <c r="C339" t="str">
        <f t="shared" si="10"/>
        <v>INTEGRA Saloon</v>
      </c>
      <c r="D339" t="str">
        <f t="shared" si="11"/>
        <v>1.5</v>
      </c>
      <c r="E339" t="s">
        <v>26</v>
      </c>
      <c r="F339">
        <v>198501</v>
      </c>
      <c r="G339">
        <v>199012</v>
      </c>
      <c r="H339">
        <v>63</v>
      </c>
      <c r="I339">
        <v>85</v>
      </c>
      <c r="J339">
        <v>1488</v>
      </c>
      <c r="K339">
        <v>2786081</v>
      </c>
      <c r="L339" t="s">
        <v>236</v>
      </c>
      <c r="M339" t="str">
        <f>"05P555"</f>
        <v>05P555</v>
      </c>
      <c r="N339" t="str">
        <f>"05P555"</f>
        <v>05P555</v>
      </c>
      <c r="O339" t="str">
        <f>"21448"</f>
        <v>21448</v>
      </c>
      <c r="P339" t="s">
        <v>664</v>
      </c>
      <c r="Q339" t="str">
        <f>"8032532058879"</f>
        <v>8032532058879</v>
      </c>
      <c r="R339" t="s">
        <v>815</v>
      </c>
      <c r="S339" t="s">
        <v>816</v>
      </c>
      <c r="T339" s="1" t="s">
        <v>817</v>
      </c>
      <c r="U339">
        <v>402</v>
      </c>
      <c r="V339" t="s">
        <v>664</v>
      </c>
      <c r="W339" t="s">
        <v>668</v>
      </c>
      <c r="X339" t="s">
        <v>224</v>
      </c>
    </row>
    <row r="340" spans="1:24">
      <c r="A340">
        <v>13527</v>
      </c>
      <c r="B340" t="s">
        <v>25</v>
      </c>
      <c r="C340" t="str">
        <f t="shared" si="10"/>
        <v>INTEGRA Saloon</v>
      </c>
      <c r="D340" t="str">
        <f t="shared" si="11"/>
        <v>1.5</v>
      </c>
      <c r="E340" t="s">
        <v>26</v>
      </c>
      <c r="F340">
        <v>198501</v>
      </c>
      <c r="G340">
        <v>199012</v>
      </c>
      <c r="H340">
        <v>63</v>
      </c>
      <c r="I340">
        <v>85</v>
      </c>
      <c r="J340">
        <v>1488</v>
      </c>
      <c r="K340">
        <v>2807312</v>
      </c>
      <c r="L340" t="s">
        <v>239</v>
      </c>
      <c r="M340" t="str">
        <f>"1731"</f>
        <v>1731</v>
      </c>
      <c r="N340" t="str">
        <f>"173.1"</f>
        <v>173.1</v>
      </c>
      <c r="O340" t="str">
        <f>"21312"</f>
        <v>21312</v>
      </c>
      <c r="P340" t="s">
        <v>664</v>
      </c>
      <c r="Q340" t="str">
        <f>""</f>
        <v/>
      </c>
      <c r="R340" t="s">
        <v>674</v>
      </c>
      <c r="S340" t="s">
        <v>675</v>
      </c>
      <c r="T340" s="1" t="s">
        <v>818</v>
      </c>
      <c r="U340">
        <v>402</v>
      </c>
      <c r="V340" t="s">
        <v>664</v>
      </c>
      <c r="W340" t="s">
        <v>668</v>
      </c>
      <c r="X340" t="s">
        <v>224</v>
      </c>
    </row>
    <row r="341" spans="1:24">
      <c r="A341">
        <v>13527</v>
      </c>
      <c r="B341" t="s">
        <v>25</v>
      </c>
      <c r="C341" t="str">
        <f t="shared" si="10"/>
        <v>INTEGRA Saloon</v>
      </c>
      <c r="D341" t="str">
        <f t="shared" si="11"/>
        <v>1.5</v>
      </c>
      <c r="E341" t="s">
        <v>26</v>
      </c>
      <c r="F341">
        <v>198501</v>
      </c>
      <c r="G341">
        <v>199012</v>
      </c>
      <c r="H341">
        <v>63</v>
      </c>
      <c r="I341">
        <v>85</v>
      </c>
      <c r="J341">
        <v>1488</v>
      </c>
      <c r="K341">
        <v>2807313</v>
      </c>
      <c r="L341" t="s">
        <v>239</v>
      </c>
      <c r="M341" t="str">
        <f>"1740"</f>
        <v>1740</v>
      </c>
      <c r="N341" t="str">
        <f>"174.0"</f>
        <v>174.0</v>
      </c>
      <c r="O341" t="str">
        <f>"21446"</f>
        <v>21446</v>
      </c>
      <c r="P341" t="s">
        <v>664</v>
      </c>
      <c r="Q341" t="str">
        <f>""</f>
        <v/>
      </c>
      <c r="R341" t="s">
        <v>677</v>
      </c>
      <c r="S341" t="s">
        <v>678</v>
      </c>
      <c r="T341" s="1" t="s">
        <v>819</v>
      </c>
      <c r="U341">
        <v>402</v>
      </c>
      <c r="V341" t="s">
        <v>664</v>
      </c>
      <c r="W341" t="s">
        <v>668</v>
      </c>
      <c r="X341" t="s">
        <v>224</v>
      </c>
    </row>
    <row r="342" spans="1:24">
      <c r="A342">
        <v>13527</v>
      </c>
      <c r="B342" t="s">
        <v>25</v>
      </c>
      <c r="C342" t="str">
        <f t="shared" si="10"/>
        <v>INTEGRA Saloon</v>
      </c>
      <c r="D342" t="str">
        <f t="shared" si="11"/>
        <v>1.5</v>
      </c>
      <c r="E342" t="s">
        <v>26</v>
      </c>
      <c r="F342">
        <v>198501</v>
      </c>
      <c r="G342">
        <v>199012</v>
      </c>
      <c r="H342">
        <v>63</v>
      </c>
      <c r="I342">
        <v>85</v>
      </c>
      <c r="J342">
        <v>1488</v>
      </c>
      <c r="K342">
        <v>2807438</v>
      </c>
      <c r="L342" t="s">
        <v>239</v>
      </c>
      <c r="M342" t="str">
        <f>"2461"</f>
        <v>2461</v>
      </c>
      <c r="N342" t="str">
        <f>"246.1"</f>
        <v>246.1</v>
      </c>
      <c r="O342" t="str">
        <f>"20099"</f>
        <v>20099</v>
      </c>
      <c r="P342" t="s">
        <v>664</v>
      </c>
      <c r="Q342" t="str">
        <f>""</f>
        <v/>
      </c>
      <c r="R342" t="s">
        <v>680</v>
      </c>
      <c r="S342" t="s">
        <v>681</v>
      </c>
      <c r="T342" s="1" t="s">
        <v>820</v>
      </c>
      <c r="U342">
        <v>402</v>
      </c>
      <c r="V342" t="s">
        <v>664</v>
      </c>
      <c r="W342" t="s">
        <v>668</v>
      </c>
      <c r="X342" t="s">
        <v>224</v>
      </c>
    </row>
    <row r="343" spans="1:24">
      <c r="A343">
        <v>13527</v>
      </c>
      <c r="B343" t="s">
        <v>25</v>
      </c>
      <c r="C343" t="str">
        <f t="shared" si="10"/>
        <v>INTEGRA Saloon</v>
      </c>
      <c r="D343" t="str">
        <f t="shared" si="11"/>
        <v>1.5</v>
      </c>
      <c r="E343" t="s">
        <v>26</v>
      </c>
      <c r="F343">
        <v>198501</v>
      </c>
      <c r="G343">
        <v>199012</v>
      </c>
      <c r="H343">
        <v>63</v>
      </c>
      <c r="I343">
        <v>85</v>
      </c>
      <c r="J343">
        <v>1488</v>
      </c>
      <c r="K343">
        <v>2991211</v>
      </c>
      <c r="L343" t="s">
        <v>242</v>
      </c>
      <c r="M343" t="str">
        <f>"FD6290A"</f>
        <v>FD6290A</v>
      </c>
      <c r="N343" t="str">
        <f>"FD6290A"</f>
        <v>FD6290A</v>
      </c>
      <c r="O343" t="str">
        <f>"20099"</f>
        <v>20099</v>
      </c>
      <c r="P343" t="s">
        <v>664</v>
      </c>
      <c r="Q343" t="str">
        <f>"8426345502214"</f>
        <v>8426345502214</v>
      </c>
      <c r="R343" t="s">
        <v>821</v>
      </c>
      <c r="T343" s="1" t="s">
        <v>822</v>
      </c>
      <c r="U343">
        <v>402</v>
      </c>
      <c r="V343" t="s">
        <v>664</v>
      </c>
      <c r="W343" t="s">
        <v>668</v>
      </c>
      <c r="X343" t="s">
        <v>224</v>
      </c>
    </row>
    <row r="344" spans="1:24">
      <c r="A344">
        <v>13527</v>
      </c>
      <c r="B344" t="s">
        <v>25</v>
      </c>
      <c r="C344" t="str">
        <f t="shared" si="10"/>
        <v>INTEGRA Saloon</v>
      </c>
      <c r="D344" t="str">
        <f t="shared" si="11"/>
        <v>1.5</v>
      </c>
      <c r="E344" t="s">
        <v>26</v>
      </c>
      <c r="F344">
        <v>198501</v>
      </c>
      <c r="G344">
        <v>199012</v>
      </c>
      <c r="H344">
        <v>63</v>
      </c>
      <c r="I344">
        <v>85</v>
      </c>
      <c r="J344">
        <v>1488</v>
      </c>
      <c r="K344">
        <v>2991240</v>
      </c>
      <c r="L344" t="s">
        <v>242</v>
      </c>
      <c r="M344" t="str">
        <f>"FD6344A"</f>
        <v>FD6344A</v>
      </c>
      <c r="N344" t="str">
        <f>"FD6344A"</f>
        <v>FD6344A</v>
      </c>
      <c r="O344" t="str">
        <f>"21312"</f>
        <v>21312</v>
      </c>
      <c r="P344" t="s">
        <v>664</v>
      </c>
      <c r="Q344" t="str">
        <f>"8426345502368"</f>
        <v>8426345502368</v>
      </c>
      <c r="R344" t="s">
        <v>740</v>
      </c>
      <c r="T344" s="1" t="s">
        <v>823</v>
      </c>
      <c r="U344">
        <v>402</v>
      </c>
      <c r="V344" t="s">
        <v>664</v>
      </c>
      <c r="W344" t="s">
        <v>668</v>
      </c>
      <c r="X344" t="s">
        <v>224</v>
      </c>
    </row>
    <row r="345" spans="1:24">
      <c r="A345">
        <v>13527</v>
      </c>
      <c r="B345" t="s">
        <v>25</v>
      </c>
      <c r="C345" t="str">
        <f t="shared" si="10"/>
        <v>INTEGRA Saloon</v>
      </c>
      <c r="D345" t="str">
        <f t="shared" si="11"/>
        <v>1.5</v>
      </c>
      <c r="E345" t="s">
        <v>26</v>
      </c>
      <c r="F345">
        <v>198501</v>
      </c>
      <c r="G345">
        <v>199012</v>
      </c>
      <c r="H345">
        <v>63</v>
      </c>
      <c r="I345">
        <v>85</v>
      </c>
      <c r="J345">
        <v>1488</v>
      </c>
      <c r="K345">
        <v>2991241</v>
      </c>
      <c r="L345" t="s">
        <v>242</v>
      </c>
      <c r="M345" t="str">
        <f>"FD6344N"</f>
        <v>FD6344N</v>
      </c>
      <c r="N345" t="str">
        <f>"FD6344N"</f>
        <v>FD6344N</v>
      </c>
      <c r="O345" t="str">
        <f>"21312"</f>
        <v>21312</v>
      </c>
      <c r="P345" t="s">
        <v>664</v>
      </c>
      <c r="Q345" t="str">
        <f>"4044197383672"</f>
        <v>4044197383672</v>
      </c>
      <c r="R345" t="s">
        <v>824</v>
      </c>
      <c r="T345" s="1" t="s">
        <v>825</v>
      </c>
      <c r="U345">
        <v>402</v>
      </c>
      <c r="V345" t="s">
        <v>664</v>
      </c>
      <c r="W345" t="s">
        <v>668</v>
      </c>
      <c r="X345" t="s">
        <v>224</v>
      </c>
    </row>
    <row r="346" spans="1:24">
      <c r="A346">
        <v>13527</v>
      </c>
      <c r="B346" t="s">
        <v>25</v>
      </c>
      <c r="C346" t="str">
        <f t="shared" si="10"/>
        <v>INTEGRA Saloon</v>
      </c>
      <c r="D346" t="str">
        <f t="shared" si="11"/>
        <v>1.5</v>
      </c>
      <c r="E346" t="s">
        <v>26</v>
      </c>
      <c r="F346">
        <v>198501</v>
      </c>
      <c r="G346">
        <v>199012</v>
      </c>
      <c r="H346">
        <v>63</v>
      </c>
      <c r="I346">
        <v>85</v>
      </c>
      <c r="J346">
        <v>1488</v>
      </c>
      <c r="K346">
        <v>3030816</v>
      </c>
      <c r="L346" t="s">
        <v>33</v>
      </c>
      <c r="M346" t="str">
        <f>"J3604018"</f>
        <v>J3604018</v>
      </c>
      <c r="N346" t="str">
        <f>"J3604018"</f>
        <v>J3604018</v>
      </c>
      <c r="O346" t="str">
        <f>""</f>
        <v/>
      </c>
      <c r="P346" t="s">
        <v>664</v>
      </c>
      <c r="Q346" t="str">
        <f>"8711768056544"</f>
        <v>8711768056544</v>
      </c>
      <c r="R346" t="s">
        <v>826</v>
      </c>
      <c r="S346" t="s">
        <v>310</v>
      </c>
      <c r="T346" s="1" t="s">
        <v>827</v>
      </c>
      <c r="U346">
        <v>402</v>
      </c>
      <c r="V346" t="s">
        <v>664</v>
      </c>
      <c r="W346" t="s">
        <v>668</v>
      </c>
      <c r="X346" t="s">
        <v>224</v>
      </c>
    </row>
    <row r="347" spans="1:24">
      <c r="A347">
        <v>13527</v>
      </c>
      <c r="B347" t="s">
        <v>25</v>
      </c>
      <c r="C347" t="str">
        <f t="shared" si="10"/>
        <v>INTEGRA Saloon</v>
      </c>
      <c r="D347" t="str">
        <f t="shared" si="11"/>
        <v>1.5</v>
      </c>
      <c r="E347" t="s">
        <v>26</v>
      </c>
      <c r="F347">
        <v>198501</v>
      </c>
      <c r="G347">
        <v>199012</v>
      </c>
      <c r="H347">
        <v>63</v>
      </c>
      <c r="I347">
        <v>85</v>
      </c>
      <c r="J347">
        <v>1488</v>
      </c>
      <c r="K347">
        <v>3030988</v>
      </c>
      <c r="L347" t="s">
        <v>33</v>
      </c>
      <c r="M347" t="str">
        <f>"J3614004"</f>
        <v>J3614004</v>
      </c>
      <c r="N347" t="str">
        <f>"J3614004"</f>
        <v>J3614004</v>
      </c>
      <c r="O347" t="str">
        <f>""</f>
        <v/>
      </c>
      <c r="P347" t="s">
        <v>664</v>
      </c>
      <c r="Q347" t="str">
        <f>"8711768057732"</f>
        <v>8711768057732</v>
      </c>
      <c r="R347" t="s">
        <v>828</v>
      </c>
      <c r="S347" t="s">
        <v>221</v>
      </c>
      <c r="T347" s="1" t="s">
        <v>829</v>
      </c>
      <c r="U347">
        <v>402</v>
      </c>
      <c r="V347" t="s">
        <v>664</v>
      </c>
      <c r="W347" t="s">
        <v>668</v>
      </c>
      <c r="X347" t="s">
        <v>224</v>
      </c>
    </row>
    <row r="348" spans="1:24">
      <c r="A348">
        <v>13527</v>
      </c>
      <c r="B348" t="s">
        <v>25</v>
      </c>
      <c r="C348" t="str">
        <f t="shared" si="10"/>
        <v>INTEGRA Saloon</v>
      </c>
      <c r="D348" t="str">
        <f t="shared" si="11"/>
        <v>1.5</v>
      </c>
      <c r="E348" t="s">
        <v>26</v>
      </c>
      <c r="F348">
        <v>198501</v>
      </c>
      <c r="G348">
        <v>199012</v>
      </c>
      <c r="H348">
        <v>63</v>
      </c>
      <c r="I348">
        <v>85</v>
      </c>
      <c r="J348">
        <v>1488</v>
      </c>
      <c r="K348">
        <v>3228278</v>
      </c>
      <c r="L348" t="s">
        <v>401</v>
      </c>
      <c r="M348" t="str">
        <f>"6104999"</f>
        <v>6104999</v>
      </c>
      <c r="N348" t="str">
        <f>"6104999"</f>
        <v>6104999</v>
      </c>
      <c r="O348" t="str">
        <f>"21312"</f>
        <v>21312</v>
      </c>
      <c r="P348" t="s">
        <v>664</v>
      </c>
      <c r="Q348" t="str">
        <f>"3322937437313"</f>
        <v>3322937437313</v>
      </c>
      <c r="R348" t="s">
        <v>795</v>
      </c>
      <c r="S348" t="s">
        <v>675</v>
      </c>
      <c r="T348" s="1" t="s">
        <v>830</v>
      </c>
      <c r="U348">
        <v>402</v>
      </c>
      <c r="V348" t="s">
        <v>664</v>
      </c>
      <c r="W348" t="s">
        <v>668</v>
      </c>
      <c r="X348" t="s">
        <v>224</v>
      </c>
    </row>
    <row r="349" spans="1:24">
      <c r="A349">
        <v>13527</v>
      </c>
      <c r="B349" t="s">
        <v>25</v>
      </c>
      <c r="C349" t="str">
        <f t="shared" si="10"/>
        <v>INTEGRA Saloon</v>
      </c>
      <c r="D349" t="str">
        <f t="shared" si="11"/>
        <v>1.5</v>
      </c>
      <c r="E349" t="s">
        <v>26</v>
      </c>
      <c r="F349">
        <v>198501</v>
      </c>
      <c r="G349">
        <v>199012</v>
      </c>
      <c r="H349">
        <v>63</v>
      </c>
      <c r="I349">
        <v>85</v>
      </c>
      <c r="J349">
        <v>1488</v>
      </c>
      <c r="K349">
        <v>3228413</v>
      </c>
      <c r="L349" t="s">
        <v>401</v>
      </c>
      <c r="M349" t="str">
        <f>"6109259"</f>
        <v>6109259</v>
      </c>
      <c r="N349" t="str">
        <f>"6109259"</f>
        <v>6109259</v>
      </c>
      <c r="O349" t="str">
        <f>"20099"</f>
        <v>20099</v>
      </c>
      <c r="P349" t="s">
        <v>664</v>
      </c>
      <c r="Q349" t="str">
        <f>"3322937438792"</f>
        <v>3322937438792</v>
      </c>
      <c r="R349" t="s">
        <v>797</v>
      </c>
      <c r="S349" t="s">
        <v>316</v>
      </c>
      <c r="T349" s="1" t="s">
        <v>831</v>
      </c>
      <c r="U349">
        <v>402</v>
      </c>
      <c r="V349" t="s">
        <v>664</v>
      </c>
      <c r="W349" t="s">
        <v>668</v>
      </c>
      <c r="X349" t="s">
        <v>224</v>
      </c>
    </row>
    <row r="350" spans="1:24">
      <c r="A350">
        <v>13527</v>
      </c>
      <c r="B350" t="s">
        <v>25</v>
      </c>
      <c r="C350" t="str">
        <f t="shared" si="10"/>
        <v>INTEGRA Saloon</v>
      </c>
      <c r="D350" t="str">
        <f t="shared" si="11"/>
        <v>1.5</v>
      </c>
      <c r="E350" t="s">
        <v>26</v>
      </c>
      <c r="F350">
        <v>198501</v>
      </c>
      <c r="G350">
        <v>199012</v>
      </c>
      <c r="H350">
        <v>63</v>
      </c>
      <c r="I350">
        <v>85</v>
      </c>
      <c r="J350">
        <v>1488</v>
      </c>
      <c r="K350">
        <v>3229246</v>
      </c>
      <c r="L350" t="s">
        <v>401</v>
      </c>
      <c r="M350" t="str">
        <f>"6130349"</f>
        <v>6130349</v>
      </c>
      <c r="N350" t="str">
        <f>"6130349"</f>
        <v>6130349</v>
      </c>
      <c r="O350" t="str">
        <f>"21446"</f>
        <v>21446</v>
      </c>
      <c r="P350" t="s">
        <v>664</v>
      </c>
      <c r="Q350" t="str">
        <f>"3322937444755"</f>
        <v>3322937444755</v>
      </c>
      <c r="R350" t="s">
        <v>793</v>
      </c>
      <c r="S350" t="s">
        <v>678</v>
      </c>
      <c r="T350" s="1" t="s">
        <v>832</v>
      </c>
      <c r="U350">
        <v>402</v>
      </c>
      <c r="V350" t="s">
        <v>664</v>
      </c>
      <c r="W350" t="s">
        <v>668</v>
      </c>
      <c r="X350" t="s">
        <v>224</v>
      </c>
    </row>
    <row r="351" spans="1:24">
      <c r="A351">
        <v>13527</v>
      </c>
      <c r="B351" t="s">
        <v>25</v>
      </c>
      <c r="C351" t="str">
        <f t="shared" si="10"/>
        <v>INTEGRA Saloon</v>
      </c>
      <c r="D351" t="str">
        <f t="shared" si="11"/>
        <v>1.5</v>
      </c>
      <c r="E351" t="s">
        <v>26</v>
      </c>
      <c r="F351">
        <v>198501</v>
      </c>
      <c r="G351">
        <v>199012</v>
      </c>
      <c r="H351">
        <v>63</v>
      </c>
      <c r="I351">
        <v>85</v>
      </c>
      <c r="J351">
        <v>1488</v>
      </c>
      <c r="K351">
        <v>3234188</v>
      </c>
      <c r="L351" t="s">
        <v>199</v>
      </c>
      <c r="M351" t="str">
        <f>"022802"</f>
        <v>022802</v>
      </c>
      <c r="N351" t="str">
        <f>"0228 02"</f>
        <v>0228 02</v>
      </c>
      <c r="O351" t="str">
        <f>""</f>
        <v/>
      </c>
      <c r="P351" t="s">
        <v>664</v>
      </c>
      <c r="Q351" t="str">
        <f>""</f>
        <v/>
      </c>
      <c r="R351" t="s">
        <v>774</v>
      </c>
      <c r="T351" s="1" t="s">
        <v>780</v>
      </c>
      <c r="U351">
        <v>402</v>
      </c>
      <c r="V351" t="s">
        <v>664</v>
      </c>
      <c r="W351" t="s">
        <v>668</v>
      </c>
      <c r="X351" t="s">
        <v>224</v>
      </c>
    </row>
    <row r="352" spans="1:24">
      <c r="A352">
        <v>13527</v>
      </c>
      <c r="B352" t="s">
        <v>25</v>
      </c>
      <c r="C352" t="str">
        <f t="shared" si="10"/>
        <v>INTEGRA Saloon</v>
      </c>
      <c r="D352" t="str">
        <f t="shared" si="11"/>
        <v>1.5</v>
      </c>
      <c r="E352" t="s">
        <v>26</v>
      </c>
      <c r="F352">
        <v>198501</v>
      </c>
      <c r="G352">
        <v>199012</v>
      </c>
      <c r="H352">
        <v>63</v>
      </c>
      <c r="I352">
        <v>85</v>
      </c>
      <c r="J352">
        <v>1488</v>
      </c>
      <c r="K352">
        <v>3234197</v>
      </c>
      <c r="L352" t="s">
        <v>199</v>
      </c>
      <c r="M352" t="str">
        <f>"023320"</f>
        <v>023320</v>
      </c>
      <c r="N352" t="str">
        <f>"0233 20"</f>
        <v>0233 20</v>
      </c>
      <c r="O352" t="str">
        <f>""</f>
        <v/>
      </c>
      <c r="P352" t="s">
        <v>664</v>
      </c>
      <c r="Q352" t="str">
        <f>""</f>
        <v/>
      </c>
      <c r="R352" s="1" t="s">
        <v>776</v>
      </c>
      <c r="T352" s="1" t="s">
        <v>781</v>
      </c>
      <c r="U352">
        <v>402</v>
      </c>
      <c r="V352" t="s">
        <v>664</v>
      </c>
      <c r="W352" t="s">
        <v>668</v>
      </c>
      <c r="X352" t="s">
        <v>224</v>
      </c>
    </row>
    <row r="353" spans="1:24">
      <c r="A353">
        <v>13527</v>
      </c>
      <c r="B353" t="s">
        <v>25</v>
      </c>
      <c r="C353" t="str">
        <f t="shared" si="10"/>
        <v>INTEGRA Saloon</v>
      </c>
      <c r="D353" t="str">
        <f t="shared" si="11"/>
        <v>1.5</v>
      </c>
      <c r="E353" t="s">
        <v>26</v>
      </c>
      <c r="F353">
        <v>198501</v>
      </c>
      <c r="G353">
        <v>199012</v>
      </c>
      <c r="H353">
        <v>63</v>
      </c>
      <c r="I353">
        <v>85</v>
      </c>
      <c r="J353">
        <v>1488</v>
      </c>
      <c r="K353">
        <v>3234996</v>
      </c>
      <c r="L353" t="s">
        <v>199</v>
      </c>
      <c r="M353" t="str">
        <f>"064610"</f>
        <v>064610</v>
      </c>
      <c r="N353" t="str">
        <f>"0646 10"</f>
        <v>0646 10</v>
      </c>
      <c r="O353" t="str">
        <f>""</f>
        <v/>
      </c>
      <c r="P353" t="s">
        <v>664</v>
      </c>
      <c r="Q353" t="str">
        <f>""</f>
        <v/>
      </c>
      <c r="R353" t="s">
        <v>782</v>
      </c>
      <c r="T353" s="1" t="s">
        <v>833</v>
      </c>
      <c r="U353">
        <v>402</v>
      </c>
      <c r="V353" t="s">
        <v>664</v>
      </c>
      <c r="W353" t="s">
        <v>668</v>
      </c>
      <c r="X353" t="s">
        <v>224</v>
      </c>
    </row>
    <row r="354" spans="1:24">
      <c r="A354">
        <v>13527</v>
      </c>
      <c r="B354" t="s">
        <v>25</v>
      </c>
      <c r="C354" t="str">
        <f t="shared" si="10"/>
        <v>INTEGRA Saloon</v>
      </c>
      <c r="D354" t="str">
        <f t="shared" si="11"/>
        <v>1.5</v>
      </c>
      <c r="E354" t="s">
        <v>26</v>
      </c>
      <c r="F354">
        <v>198501</v>
      </c>
      <c r="G354">
        <v>199012</v>
      </c>
      <c r="H354">
        <v>63</v>
      </c>
      <c r="I354">
        <v>85</v>
      </c>
      <c r="J354">
        <v>1488</v>
      </c>
      <c r="K354">
        <v>3299734</v>
      </c>
      <c r="L354" t="s">
        <v>247</v>
      </c>
      <c r="M354" t="str">
        <f>"1731"</f>
        <v>1731</v>
      </c>
      <c r="N354" t="str">
        <f>"173.1"</f>
        <v>173.1</v>
      </c>
      <c r="O354" t="str">
        <f>"21312"</f>
        <v>21312</v>
      </c>
      <c r="P354" t="s">
        <v>664</v>
      </c>
      <c r="Q354" t="str">
        <f>""</f>
        <v/>
      </c>
      <c r="R354" t="s">
        <v>674</v>
      </c>
      <c r="S354" t="s">
        <v>675</v>
      </c>
      <c r="T354" s="1" t="s">
        <v>818</v>
      </c>
      <c r="U354">
        <v>402</v>
      </c>
      <c r="V354" t="s">
        <v>664</v>
      </c>
      <c r="W354" t="s">
        <v>668</v>
      </c>
      <c r="X354" t="s">
        <v>224</v>
      </c>
    </row>
    <row r="355" spans="1:24">
      <c r="A355">
        <v>13527</v>
      </c>
      <c r="B355" t="s">
        <v>25</v>
      </c>
      <c r="C355" t="str">
        <f t="shared" si="10"/>
        <v>INTEGRA Saloon</v>
      </c>
      <c r="D355" t="str">
        <f t="shared" si="11"/>
        <v>1.5</v>
      </c>
      <c r="E355" t="s">
        <v>26</v>
      </c>
      <c r="F355">
        <v>198501</v>
      </c>
      <c r="G355">
        <v>199012</v>
      </c>
      <c r="H355">
        <v>63</v>
      </c>
      <c r="I355">
        <v>85</v>
      </c>
      <c r="J355">
        <v>1488</v>
      </c>
      <c r="K355">
        <v>3299829</v>
      </c>
      <c r="L355" t="s">
        <v>247</v>
      </c>
      <c r="M355" t="str">
        <f>"1740"</f>
        <v>1740</v>
      </c>
      <c r="N355" t="str">
        <f>"174.0"</f>
        <v>174.0</v>
      </c>
      <c r="O355" t="str">
        <f>"21446"</f>
        <v>21446</v>
      </c>
      <c r="P355" t="s">
        <v>664</v>
      </c>
      <c r="Q355" t="str">
        <f>""</f>
        <v/>
      </c>
      <c r="R355" t="s">
        <v>677</v>
      </c>
      <c r="S355" t="s">
        <v>678</v>
      </c>
      <c r="T355" s="1" t="s">
        <v>819</v>
      </c>
      <c r="U355">
        <v>402</v>
      </c>
      <c r="V355" t="s">
        <v>664</v>
      </c>
      <c r="W355" t="s">
        <v>668</v>
      </c>
      <c r="X355" t="s">
        <v>224</v>
      </c>
    </row>
    <row r="356" spans="1:24">
      <c r="A356">
        <v>13527</v>
      </c>
      <c r="B356" t="s">
        <v>25</v>
      </c>
      <c r="C356" t="str">
        <f t="shared" si="10"/>
        <v>INTEGRA Saloon</v>
      </c>
      <c r="D356" t="str">
        <f t="shared" si="11"/>
        <v>1.5</v>
      </c>
      <c r="E356" t="s">
        <v>26</v>
      </c>
      <c r="F356">
        <v>198501</v>
      </c>
      <c r="G356">
        <v>199012</v>
      </c>
      <c r="H356">
        <v>63</v>
      </c>
      <c r="I356">
        <v>85</v>
      </c>
      <c r="J356">
        <v>1488</v>
      </c>
      <c r="K356">
        <v>3300011</v>
      </c>
      <c r="L356" t="s">
        <v>247</v>
      </c>
      <c r="M356" t="str">
        <f>"2461"</f>
        <v>2461</v>
      </c>
      <c r="N356" t="str">
        <f>"246.1"</f>
        <v>246.1</v>
      </c>
      <c r="O356" t="str">
        <f>"20099"</f>
        <v>20099</v>
      </c>
      <c r="P356" t="s">
        <v>664</v>
      </c>
      <c r="Q356" t="str">
        <f>""</f>
        <v/>
      </c>
      <c r="R356" t="s">
        <v>680</v>
      </c>
      <c r="S356" t="s">
        <v>681</v>
      </c>
      <c r="T356" s="1" t="s">
        <v>820</v>
      </c>
      <c r="U356">
        <v>402</v>
      </c>
      <c r="V356" t="s">
        <v>664</v>
      </c>
      <c r="W356" t="s">
        <v>668</v>
      </c>
      <c r="X356" t="s">
        <v>224</v>
      </c>
    </row>
    <row r="357" spans="1:24">
      <c r="A357">
        <v>13527</v>
      </c>
      <c r="B357" t="s">
        <v>25</v>
      </c>
      <c r="C357" t="str">
        <f t="shared" si="10"/>
        <v>INTEGRA Saloon</v>
      </c>
      <c r="D357" t="str">
        <f t="shared" si="11"/>
        <v>1.5</v>
      </c>
      <c r="E357" t="s">
        <v>26</v>
      </c>
      <c r="F357">
        <v>198501</v>
      </c>
      <c r="G357">
        <v>199012</v>
      </c>
      <c r="H357">
        <v>63</v>
      </c>
      <c r="I357">
        <v>85</v>
      </c>
      <c r="J357">
        <v>1488</v>
      </c>
      <c r="K357">
        <v>3362438</v>
      </c>
      <c r="L357" t="s">
        <v>274</v>
      </c>
      <c r="M357" t="str">
        <f>"120349"</f>
        <v>120349</v>
      </c>
      <c r="N357" t="str">
        <f>"12-0349"</f>
        <v>12-0349</v>
      </c>
      <c r="O357" t="str">
        <f>"20104"</f>
        <v>20104</v>
      </c>
      <c r="P357" t="s">
        <v>664</v>
      </c>
      <c r="Q357" t="str">
        <f>""</f>
        <v/>
      </c>
      <c r="R357" t="s">
        <v>834</v>
      </c>
      <c r="T357" s="1" t="s">
        <v>835</v>
      </c>
      <c r="U357">
        <v>402</v>
      </c>
      <c r="V357" t="s">
        <v>664</v>
      </c>
      <c r="W357" t="s">
        <v>668</v>
      </c>
      <c r="X357" t="s">
        <v>224</v>
      </c>
    </row>
    <row r="358" spans="1:24">
      <c r="A358">
        <v>13527</v>
      </c>
      <c r="B358" t="s">
        <v>25</v>
      </c>
      <c r="C358" t="str">
        <f t="shared" si="10"/>
        <v>INTEGRA Saloon</v>
      </c>
      <c r="D358" t="str">
        <f t="shared" si="11"/>
        <v>1.5</v>
      </c>
      <c r="E358" t="s">
        <v>26</v>
      </c>
      <c r="F358">
        <v>198501</v>
      </c>
      <c r="G358">
        <v>199012</v>
      </c>
      <c r="H358">
        <v>63</v>
      </c>
      <c r="I358">
        <v>85</v>
      </c>
      <c r="J358">
        <v>1488</v>
      </c>
      <c r="K358">
        <v>3362460</v>
      </c>
      <c r="L358" t="s">
        <v>274</v>
      </c>
      <c r="M358" t="str">
        <f>"120371"</f>
        <v>120371</v>
      </c>
      <c r="N358" t="str">
        <f>"12-0371"</f>
        <v>12-0371</v>
      </c>
      <c r="O358" t="str">
        <f>"20067"</f>
        <v>20067</v>
      </c>
      <c r="P358" t="s">
        <v>664</v>
      </c>
      <c r="Q358" t="str">
        <f>""</f>
        <v/>
      </c>
      <c r="R358" t="s">
        <v>836</v>
      </c>
      <c r="T358" s="1" t="s">
        <v>837</v>
      </c>
      <c r="U358">
        <v>402</v>
      </c>
      <c r="V358" t="s">
        <v>664</v>
      </c>
      <c r="W358" t="s">
        <v>668</v>
      </c>
      <c r="X358" t="s">
        <v>224</v>
      </c>
    </row>
    <row r="359" spans="1:24">
      <c r="A359">
        <v>13527</v>
      </c>
      <c r="B359" t="s">
        <v>25</v>
      </c>
      <c r="C359" t="str">
        <f t="shared" si="10"/>
        <v>INTEGRA Saloon</v>
      </c>
      <c r="D359" t="str">
        <f t="shared" si="11"/>
        <v>1.5</v>
      </c>
      <c r="E359" t="s">
        <v>26</v>
      </c>
      <c r="F359">
        <v>198501</v>
      </c>
      <c r="G359">
        <v>199012</v>
      </c>
      <c r="H359">
        <v>63</v>
      </c>
      <c r="I359">
        <v>85</v>
      </c>
      <c r="J359">
        <v>1488</v>
      </c>
      <c r="K359">
        <v>3362484</v>
      </c>
      <c r="L359" t="s">
        <v>274</v>
      </c>
      <c r="M359" t="str">
        <f>"120396"</f>
        <v>120396</v>
      </c>
      <c r="N359" t="str">
        <f>"12-0396"</f>
        <v>12-0396</v>
      </c>
      <c r="O359" t="str">
        <f>"21312"</f>
        <v>21312</v>
      </c>
      <c r="P359" t="s">
        <v>664</v>
      </c>
      <c r="Q359" t="str">
        <f>""</f>
        <v/>
      </c>
      <c r="R359" t="s">
        <v>838</v>
      </c>
      <c r="T359" s="1" t="s">
        <v>839</v>
      </c>
      <c r="U359">
        <v>402</v>
      </c>
      <c r="V359" t="s">
        <v>664</v>
      </c>
      <c r="W359" t="s">
        <v>668</v>
      </c>
      <c r="X359" t="s">
        <v>224</v>
      </c>
    </row>
    <row r="360" spans="1:24">
      <c r="A360">
        <v>13527</v>
      </c>
      <c r="B360" t="s">
        <v>25</v>
      </c>
      <c r="C360" t="str">
        <f t="shared" si="10"/>
        <v>INTEGRA Saloon</v>
      </c>
      <c r="D360" t="str">
        <f t="shared" si="11"/>
        <v>1.5</v>
      </c>
      <c r="E360" t="s">
        <v>26</v>
      </c>
      <c r="F360">
        <v>198501</v>
      </c>
      <c r="G360">
        <v>199012</v>
      </c>
      <c r="H360">
        <v>63</v>
      </c>
      <c r="I360">
        <v>85</v>
      </c>
      <c r="J360">
        <v>1488</v>
      </c>
      <c r="K360">
        <v>3362566</v>
      </c>
      <c r="L360" t="s">
        <v>274</v>
      </c>
      <c r="M360" t="str">
        <f>"120479"</f>
        <v>120479</v>
      </c>
      <c r="N360" t="str">
        <f>"12-0479"</f>
        <v>12-0479</v>
      </c>
      <c r="O360" t="str">
        <f>"21323"</f>
        <v>21323</v>
      </c>
      <c r="P360" t="s">
        <v>664</v>
      </c>
      <c r="Q360" t="str">
        <f>""</f>
        <v/>
      </c>
      <c r="R360" t="s">
        <v>840</v>
      </c>
      <c r="T360" s="1" t="s">
        <v>841</v>
      </c>
      <c r="U360">
        <v>402</v>
      </c>
      <c r="V360" t="s">
        <v>664</v>
      </c>
      <c r="W360" t="s">
        <v>668</v>
      </c>
      <c r="X360" t="s">
        <v>224</v>
      </c>
    </row>
    <row r="361" spans="1:24">
      <c r="A361">
        <v>13527</v>
      </c>
      <c r="B361" t="s">
        <v>25</v>
      </c>
      <c r="C361" t="str">
        <f t="shared" si="10"/>
        <v>INTEGRA Saloon</v>
      </c>
      <c r="D361" t="str">
        <f t="shared" si="11"/>
        <v>1.5</v>
      </c>
      <c r="E361" t="s">
        <v>26</v>
      </c>
      <c r="F361">
        <v>198501</v>
      </c>
      <c r="G361">
        <v>199012</v>
      </c>
      <c r="H361">
        <v>63</v>
      </c>
      <c r="I361">
        <v>85</v>
      </c>
      <c r="J361">
        <v>1488</v>
      </c>
      <c r="K361">
        <v>3362567</v>
      </c>
      <c r="L361" t="s">
        <v>274</v>
      </c>
      <c r="M361" t="str">
        <f>"120480"</f>
        <v>120480</v>
      </c>
      <c r="N361" t="str">
        <f>"12-0480"</f>
        <v>12-0480</v>
      </c>
      <c r="O361" t="str">
        <f>"21446"</f>
        <v>21446</v>
      </c>
      <c r="P361" t="s">
        <v>664</v>
      </c>
      <c r="Q361" t="str">
        <f>""</f>
        <v/>
      </c>
      <c r="R361" t="s">
        <v>842</v>
      </c>
      <c r="T361" s="1" t="s">
        <v>843</v>
      </c>
      <c r="U361">
        <v>402</v>
      </c>
      <c r="V361" t="s">
        <v>664</v>
      </c>
      <c r="W361" t="s">
        <v>668</v>
      </c>
      <c r="X361" t="s">
        <v>224</v>
      </c>
    </row>
    <row r="362" spans="1:24">
      <c r="A362">
        <v>13527</v>
      </c>
      <c r="B362" t="s">
        <v>25</v>
      </c>
      <c r="C362" t="str">
        <f t="shared" si="10"/>
        <v>INTEGRA Saloon</v>
      </c>
      <c r="D362" t="str">
        <f t="shared" si="11"/>
        <v>1.5</v>
      </c>
      <c r="E362" t="s">
        <v>26</v>
      </c>
      <c r="F362">
        <v>198501</v>
      </c>
      <c r="G362">
        <v>199012</v>
      </c>
      <c r="H362">
        <v>63</v>
      </c>
      <c r="I362">
        <v>85</v>
      </c>
      <c r="J362">
        <v>1488</v>
      </c>
      <c r="K362">
        <v>3368766</v>
      </c>
      <c r="L362" t="s">
        <v>248</v>
      </c>
      <c r="M362" t="str">
        <f>"8221701"</f>
        <v>8221701</v>
      </c>
      <c r="N362" t="str">
        <f>"822-170-1"</f>
        <v>822-170-1</v>
      </c>
      <c r="O362" t="str">
        <f>""</f>
        <v/>
      </c>
      <c r="P362" t="s">
        <v>664</v>
      </c>
      <c r="Q362" t="str">
        <f>""</f>
        <v/>
      </c>
      <c r="R362" t="s">
        <v>674</v>
      </c>
      <c r="S362" t="s">
        <v>675</v>
      </c>
      <c r="T362" s="1" t="s">
        <v>844</v>
      </c>
      <c r="U362">
        <v>402</v>
      </c>
      <c r="V362" t="s">
        <v>664</v>
      </c>
      <c r="W362" t="s">
        <v>668</v>
      </c>
      <c r="X362" t="s">
        <v>224</v>
      </c>
    </row>
    <row r="363" spans="1:24">
      <c r="A363">
        <v>13527</v>
      </c>
      <c r="B363" t="s">
        <v>25</v>
      </c>
      <c r="C363" t="str">
        <f t="shared" si="10"/>
        <v>INTEGRA Saloon</v>
      </c>
      <c r="D363" t="str">
        <f t="shared" si="11"/>
        <v>1.5</v>
      </c>
      <c r="E363" t="s">
        <v>26</v>
      </c>
      <c r="F363">
        <v>198501</v>
      </c>
      <c r="G363">
        <v>199012</v>
      </c>
      <c r="H363">
        <v>63</v>
      </c>
      <c r="I363">
        <v>85</v>
      </c>
      <c r="J363">
        <v>1488</v>
      </c>
      <c r="K363">
        <v>3368767</v>
      </c>
      <c r="L363" t="s">
        <v>248</v>
      </c>
      <c r="M363" t="str">
        <f>"8221710"</f>
        <v>8221710</v>
      </c>
      <c r="N363" t="str">
        <f>"822-171-0"</f>
        <v>822-171-0</v>
      </c>
      <c r="O363" t="str">
        <f>""</f>
        <v/>
      </c>
      <c r="P363" t="s">
        <v>664</v>
      </c>
      <c r="Q363" t="str">
        <f>""</f>
        <v/>
      </c>
      <c r="R363" t="s">
        <v>677</v>
      </c>
      <c r="S363" t="s">
        <v>678</v>
      </c>
      <c r="T363" s="1" t="s">
        <v>845</v>
      </c>
      <c r="U363">
        <v>402</v>
      </c>
      <c r="V363" t="s">
        <v>664</v>
      </c>
      <c r="W363" t="s">
        <v>668</v>
      </c>
      <c r="X363" t="s">
        <v>224</v>
      </c>
    </row>
    <row r="364" spans="1:24">
      <c r="A364">
        <v>13527</v>
      </c>
      <c r="B364" t="s">
        <v>25</v>
      </c>
      <c r="C364" t="str">
        <f t="shared" si="10"/>
        <v>INTEGRA Saloon</v>
      </c>
      <c r="D364" t="str">
        <f t="shared" si="11"/>
        <v>1.5</v>
      </c>
      <c r="E364" t="s">
        <v>26</v>
      </c>
      <c r="F364">
        <v>198501</v>
      </c>
      <c r="G364">
        <v>199012</v>
      </c>
      <c r="H364">
        <v>63</v>
      </c>
      <c r="I364">
        <v>85</v>
      </c>
      <c r="J364">
        <v>1488</v>
      </c>
      <c r="K364">
        <v>3368892</v>
      </c>
      <c r="L364" t="s">
        <v>248</v>
      </c>
      <c r="M364" t="str">
        <f>"8222371"</f>
        <v>8222371</v>
      </c>
      <c r="N364" t="str">
        <f>"822-237-1"</f>
        <v>822-237-1</v>
      </c>
      <c r="O364" t="str">
        <f>""</f>
        <v/>
      </c>
      <c r="P364" t="s">
        <v>664</v>
      </c>
      <c r="Q364" t="str">
        <f>""</f>
        <v/>
      </c>
      <c r="R364" t="s">
        <v>680</v>
      </c>
      <c r="S364" t="s">
        <v>681</v>
      </c>
      <c r="T364" s="1" t="s">
        <v>846</v>
      </c>
      <c r="U364">
        <v>402</v>
      </c>
      <c r="V364" t="s">
        <v>664</v>
      </c>
      <c r="W364" t="s">
        <v>668</v>
      </c>
      <c r="X364" t="s">
        <v>224</v>
      </c>
    </row>
    <row r="365" spans="1:24">
      <c r="A365">
        <v>13527</v>
      </c>
      <c r="B365" t="s">
        <v>25</v>
      </c>
      <c r="C365" t="str">
        <f t="shared" si="10"/>
        <v>INTEGRA Saloon</v>
      </c>
      <c r="D365" t="str">
        <f t="shared" si="11"/>
        <v>1.5</v>
      </c>
      <c r="E365" t="s">
        <v>26</v>
      </c>
      <c r="F365">
        <v>198501</v>
      </c>
      <c r="G365">
        <v>199012</v>
      </c>
      <c r="H365">
        <v>63</v>
      </c>
      <c r="I365">
        <v>85</v>
      </c>
      <c r="J365">
        <v>1488</v>
      </c>
      <c r="K365">
        <v>3658278</v>
      </c>
      <c r="L365" t="s">
        <v>410</v>
      </c>
      <c r="M365" t="str">
        <f>"P328302"</f>
        <v>P328302</v>
      </c>
      <c r="N365" t="str">
        <f>"P3283.02"</f>
        <v>P3283.02</v>
      </c>
      <c r="O365" t="str">
        <f>"PSA328302"</f>
        <v>PSA328302</v>
      </c>
      <c r="P365" t="s">
        <v>664</v>
      </c>
      <c r="Q365" t="str">
        <f>"8427975255747"</f>
        <v>8427975255747</v>
      </c>
      <c r="R365" t="s">
        <v>774</v>
      </c>
      <c r="T365" s="1" t="s">
        <v>847</v>
      </c>
      <c r="U365">
        <v>402</v>
      </c>
      <c r="V365" t="s">
        <v>664</v>
      </c>
      <c r="W365" t="s">
        <v>668</v>
      </c>
      <c r="X365" t="s">
        <v>224</v>
      </c>
    </row>
    <row r="366" spans="1:24">
      <c r="A366">
        <v>13527</v>
      </c>
      <c r="B366" t="s">
        <v>25</v>
      </c>
      <c r="C366" t="str">
        <f t="shared" si="10"/>
        <v>INTEGRA Saloon</v>
      </c>
      <c r="D366" t="str">
        <f t="shared" si="11"/>
        <v>1.5</v>
      </c>
      <c r="E366" t="s">
        <v>26</v>
      </c>
      <c r="F366">
        <v>198501</v>
      </c>
      <c r="G366">
        <v>199012</v>
      </c>
      <c r="H366">
        <v>63</v>
      </c>
      <c r="I366">
        <v>85</v>
      </c>
      <c r="J366">
        <v>1488</v>
      </c>
      <c r="K366">
        <v>3658286</v>
      </c>
      <c r="L366" t="s">
        <v>410</v>
      </c>
      <c r="M366" t="str">
        <f>"P333320"</f>
        <v>P333320</v>
      </c>
      <c r="N366" t="str">
        <f>"P3333.20"</f>
        <v>P3333.20</v>
      </c>
      <c r="O366" t="str">
        <f>"PSA333320"</f>
        <v>PSA333320</v>
      </c>
      <c r="P366" t="s">
        <v>664</v>
      </c>
      <c r="Q366" t="str">
        <f>"8427975255839"</f>
        <v>8427975255839</v>
      </c>
      <c r="R366" s="1" t="s">
        <v>776</v>
      </c>
      <c r="T366" s="1" t="s">
        <v>848</v>
      </c>
      <c r="U366">
        <v>402</v>
      </c>
      <c r="V366" t="s">
        <v>664</v>
      </c>
      <c r="W366" t="s">
        <v>668</v>
      </c>
      <c r="X366" t="s">
        <v>224</v>
      </c>
    </row>
    <row r="367" spans="1:24">
      <c r="A367">
        <v>13527</v>
      </c>
      <c r="B367" t="s">
        <v>25</v>
      </c>
      <c r="C367" t="str">
        <f t="shared" si="10"/>
        <v>INTEGRA Saloon</v>
      </c>
      <c r="D367" t="str">
        <f t="shared" si="11"/>
        <v>1.5</v>
      </c>
      <c r="E367" t="s">
        <v>26</v>
      </c>
      <c r="F367">
        <v>198501</v>
      </c>
      <c r="G367">
        <v>199012</v>
      </c>
      <c r="H367">
        <v>63</v>
      </c>
      <c r="I367">
        <v>85</v>
      </c>
      <c r="J367">
        <v>1488</v>
      </c>
      <c r="K367">
        <v>3658826</v>
      </c>
      <c r="L367" t="s">
        <v>410</v>
      </c>
      <c r="M367" t="str">
        <f>"P746310"</f>
        <v>P746310</v>
      </c>
      <c r="N367" t="str">
        <f>"P7463.10"</f>
        <v>P7463.10</v>
      </c>
      <c r="O367" t="str">
        <f>"PSA746310"</f>
        <v>PSA746310</v>
      </c>
      <c r="P367" t="s">
        <v>664</v>
      </c>
      <c r="Q367" t="str">
        <f>"8427975262202"</f>
        <v>8427975262202</v>
      </c>
      <c r="R367" s="1" t="s">
        <v>778</v>
      </c>
      <c r="T367" s="1" t="s">
        <v>849</v>
      </c>
      <c r="U367">
        <v>402</v>
      </c>
      <c r="V367" t="s">
        <v>664</v>
      </c>
      <c r="W367" t="s">
        <v>668</v>
      </c>
      <c r="X367" t="s">
        <v>224</v>
      </c>
    </row>
    <row r="368" spans="1:24">
      <c r="A368">
        <v>13527</v>
      </c>
      <c r="B368" t="s">
        <v>25</v>
      </c>
      <c r="C368" t="str">
        <f t="shared" si="10"/>
        <v>INTEGRA Saloon</v>
      </c>
      <c r="D368" t="str">
        <f t="shared" si="11"/>
        <v>1.5</v>
      </c>
      <c r="E368" t="s">
        <v>26</v>
      </c>
      <c r="F368">
        <v>198501</v>
      </c>
      <c r="G368">
        <v>199012</v>
      </c>
      <c r="H368">
        <v>63</v>
      </c>
      <c r="I368">
        <v>85</v>
      </c>
      <c r="J368">
        <v>1488</v>
      </c>
      <c r="K368">
        <v>3712150</v>
      </c>
      <c r="L368" t="s">
        <v>412</v>
      </c>
      <c r="M368" t="str">
        <f>"PA463"</f>
        <v>PA463</v>
      </c>
      <c r="N368" t="str">
        <f>"PA463"</f>
        <v>PA463</v>
      </c>
      <c r="O368" t="str">
        <f>"20099"</f>
        <v>20099</v>
      </c>
      <c r="P368" t="s">
        <v>664</v>
      </c>
      <c r="Q368" t="str">
        <f>"5050590452852"</f>
        <v>5050590452852</v>
      </c>
      <c r="R368" t="s">
        <v>797</v>
      </c>
      <c r="S368" t="s">
        <v>316</v>
      </c>
      <c r="T368" s="1" t="s">
        <v>850</v>
      </c>
      <c r="U368">
        <v>402</v>
      </c>
      <c r="V368" t="s">
        <v>664</v>
      </c>
      <c r="W368" t="s">
        <v>668</v>
      </c>
      <c r="X368" t="s">
        <v>224</v>
      </c>
    </row>
    <row r="369" spans="1:24">
      <c r="A369">
        <v>13527</v>
      </c>
      <c r="B369" t="s">
        <v>25</v>
      </c>
      <c r="C369" t="str">
        <f t="shared" si="10"/>
        <v>INTEGRA Saloon</v>
      </c>
      <c r="D369" t="str">
        <f t="shared" si="11"/>
        <v>1.5</v>
      </c>
      <c r="E369" t="s">
        <v>26</v>
      </c>
      <c r="F369">
        <v>198501</v>
      </c>
      <c r="G369">
        <v>199012</v>
      </c>
      <c r="H369">
        <v>63</v>
      </c>
      <c r="I369">
        <v>85</v>
      </c>
      <c r="J369">
        <v>1488</v>
      </c>
      <c r="K369">
        <v>3712206</v>
      </c>
      <c r="L369" t="s">
        <v>412</v>
      </c>
      <c r="M369" t="str">
        <f>"PA545"</f>
        <v>PA545</v>
      </c>
      <c r="N369" t="str">
        <f>"PA545"</f>
        <v>PA545</v>
      </c>
      <c r="O369" t="str">
        <f>"21312"</f>
        <v>21312</v>
      </c>
      <c r="P369" t="s">
        <v>664</v>
      </c>
      <c r="Q369" t="str">
        <f>"5050590453668"</f>
        <v>5050590453668</v>
      </c>
      <c r="R369" t="s">
        <v>851</v>
      </c>
      <c r="S369" t="s">
        <v>675</v>
      </c>
      <c r="T369" s="1" t="s">
        <v>852</v>
      </c>
      <c r="U369">
        <v>402</v>
      </c>
      <c r="V369" t="s">
        <v>664</v>
      </c>
      <c r="W369" t="s">
        <v>668</v>
      </c>
      <c r="X369" t="s">
        <v>224</v>
      </c>
    </row>
    <row r="370" spans="1:24">
      <c r="A370">
        <v>13527</v>
      </c>
      <c r="B370" t="s">
        <v>25</v>
      </c>
      <c r="C370" t="str">
        <f t="shared" si="10"/>
        <v>INTEGRA Saloon</v>
      </c>
      <c r="D370" t="str">
        <f t="shared" si="11"/>
        <v>1.5</v>
      </c>
      <c r="E370" t="s">
        <v>26</v>
      </c>
      <c r="F370">
        <v>198501</v>
      </c>
      <c r="G370">
        <v>199012</v>
      </c>
      <c r="H370">
        <v>63</v>
      </c>
      <c r="I370">
        <v>85</v>
      </c>
      <c r="J370">
        <v>1488</v>
      </c>
      <c r="K370">
        <v>3712247</v>
      </c>
      <c r="L370" t="s">
        <v>412</v>
      </c>
      <c r="M370" t="str">
        <f>"PA737"</f>
        <v>PA737</v>
      </c>
      <c r="N370" t="str">
        <f>"PA737"</f>
        <v>PA737</v>
      </c>
      <c r="O370" t="str">
        <f>"21446"</f>
        <v>21446</v>
      </c>
      <c r="P370" t="s">
        <v>664</v>
      </c>
      <c r="Q370" t="str">
        <f>"5050590455242"</f>
        <v>5050590455242</v>
      </c>
      <c r="R370" t="s">
        <v>853</v>
      </c>
      <c r="S370" t="s">
        <v>678</v>
      </c>
      <c r="T370" s="1" t="s">
        <v>854</v>
      </c>
      <c r="U370">
        <v>402</v>
      </c>
      <c r="V370" t="s">
        <v>664</v>
      </c>
      <c r="W370" t="s">
        <v>668</v>
      </c>
      <c r="X370" t="s">
        <v>224</v>
      </c>
    </row>
    <row r="371" spans="1:24">
      <c r="A371">
        <v>13527</v>
      </c>
      <c r="B371" t="s">
        <v>25</v>
      </c>
      <c r="C371" t="str">
        <f t="shared" si="10"/>
        <v>INTEGRA Saloon</v>
      </c>
      <c r="D371" t="str">
        <f t="shared" si="11"/>
        <v>1.5</v>
      </c>
      <c r="E371" t="s">
        <v>26</v>
      </c>
      <c r="F371">
        <v>198501</v>
      </c>
      <c r="G371">
        <v>199012</v>
      </c>
      <c r="H371">
        <v>63</v>
      </c>
      <c r="I371">
        <v>85</v>
      </c>
      <c r="J371">
        <v>1488</v>
      </c>
      <c r="K371">
        <v>3751363</v>
      </c>
      <c r="L371" t="s">
        <v>855</v>
      </c>
      <c r="M371" t="str">
        <f>"4530"</f>
        <v>4530</v>
      </c>
      <c r="N371" t="str">
        <f>"453.0"</f>
        <v>453.0</v>
      </c>
      <c r="O371" t="str">
        <f>"21312"</f>
        <v>21312</v>
      </c>
      <c r="P371" t="s">
        <v>664</v>
      </c>
      <c r="Q371" t="str">
        <f>""</f>
        <v/>
      </c>
      <c r="R371" t="s">
        <v>856</v>
      </c>
      <c r="T371" s="1" t="s">
        <v>857</v>
      </c>
      <c r="U371">
        <v>402</v>
      </c>
      <c r="V371" t="s">
        <v>664</v>
      </c>
      <c r="W371" t="s">
        <v>668</v>
      </c>
      <c r="X371" t="s">
        <v>224</v>
      </c>
    </row>
    <row r="372" spans="1:24">
      <c r="A372">
        <v>13527</v>
      </c>
      <c r="B372" t="s">
        <v>25</v>
      </c>
      <c r="C372" t="str">
        <f t="shared" si="10"/>
        <v>INTEGRA Saloon</v>
      </c>
      <c r="D372" t="str">
        <f t="shared" si="11"/>
        <v>1.5</v>
      </c>
      <c r="E372" t="s">
        <v>26</v>
      </c>
      <c r="F372">
        <v>198501</v>
      </c>
      <c r="G372">
        <v>199012</v>
      </c>
      <c r="H372">
        <v>63</v>
      </c>
      <c r="I372">
        <v>85</v>
      </c>
      <c r="J372">
        <v>1488</v>
      </c>
      <c r="K372">
        <v>3752703</v>
      </c>
      <c r="L372" t="s">
        <v>855</v>
      </c>
      <c r="M372" t="str">
        <f>"RA04530"</f>
        <v>RA04530</v>
      </c>
      <c r="N372" t="str">
        <f>"RA.0453.0"</f>
        <v>RA.0453.0</v>
      </c>
      <c r="O372" t="str">
        <f>"21312"</f>
        <v>21312</v>
      </c>
      <c r="P372" t="s">
        <v>664</v>
      </c>
      <c r="Q372" t="str">
        <f>""</f>
        <v/>
      </c>
      <c r="R372" t="s">
        <v>858</v>
      </c>
      <c r="T372" s="1" t="s">
        <v>857</v>
      </c>
      <c r="U372">
        <v>402</v>
      </c>
      <c r="V372" t="s">
        <v>664</v>
      </c>
      <c r="W372" t="s">
        <v>668</v>
      </c>
      <c r="X372" t="s">
        <v>224</v>
      </c>
    </row>
    <row r="373" spans="1:24">
      <c r="A373">
        <v>13527</v>
      </c>
      <c r="B373" t="s">
        <v>25</v>
      </c>
      <c r="C373" t="str">
        <f t="shared" si="10"/>
        <v>INTEGRA Saloon</v>
      </c>
      <c r="D373" t="str">
        <f t="shared" si="11"/>
        <v>1.5</v>
      </c>
      <c r="E373" t="s">
        <v>26</v>
      </c>
      <c r="F373">
        <v>198501</v>
      </c>
      <c r="G373">
        <v>199012</v>
      </c>
      <c r="H373">
        <v>63</v>
      </c>
      <c r="I373">
        <v>85</v>
      </c>
      <c r="J373">
        <v>1488</v>
      </c>
      <c r="K373">
        <v>3836540</v>
      </c>
      <c r="L373" t="s">
        <v>419</v>
      </c>
      <c r="M373" t="str">
        <f>"ADB0242"</f>
        <v>ADB0242</v>
      </c>
      <c r="N373" t="str">
        <f>"ADB0242"</f>
        <v>ADB0242</v>
      </c>
      <c r="O373" t="str">
        <f>"2131212.5"</f>
        <v>2131212.5</v>
      </c>
      <c r="P373" t="s">
        <v>664</v>
      </c>
      <c r="Q373" t="str">
        <f>""</f>
        <v/>
      </c>
      <c r="R373" t="s">
        <v>859</v>
      </c>
      <c r="T373" s="1" t="s">
        <v>860</v>
      </c>
      <c r="U373">
        <v>402</v>
      </c>
      <c r="V373" t="s">
        <v>664</v>
      </c>
      <c r="W373" t="s">
        <v>668</v>
      </c>
      <c r="X373" t="s">
        <v>224</v>
      </c>
    </row>
    <row r="374" spans="1:24">
      <c r="A374">
        <v>13527</v>
      </c>
      <c r="B374" t="s">
        <v>25</v>
      </c>
      <c r="C374" t="str">
        <f t="shared" si="10"/>
        <v>INTEGRA Saloon</v>
      </c>
      <c r="D374" t="str">
        <f t="shared" si="11"/>
        <v>1.5</v>
      </c>
      <c r="E374" t="s">
        <v>26</v>
      </c>
      <c r="F374">
        <v>198501</v>
      </c>
      <c r="G374">
        <v>199012</v>
      </c>
      <c r="H374">
        <v>63</v>
      </c>
      <c r="I374">
        <v>85</v>
      </c>
      <c r="J374">
        <v>1488</v>
      </c>
      <c r="K374">
        <v>3836611</v>
      </c>
      <c r="L374" t="s">
        <v>419</v>
      </c>
      <c r="M374" t="str">
        <f>"ADB0460"</f>
        <v>ADB0460</v>
      </c>
      <c r="N374" t="str">
        <f>"ADB0460"</f>
        <v>ADB0460</v>
      </c>
      <c r="O374" t="str">
        <f>"21312"</f>
        <v>21312</v>
      </c>
      <c r="P374" t="s">
        <v>664</v>
      </c>
      <c r="Q374" t="str">
        <f>""</f>
        <v/>
      </c>
      <c r="R374" t="s">
        <v>859</v>
      </c>
      <c r="T374" s="1" t="s">
        <v>861</v>
      </c>
      <c r="U374">
        <v>402</v>
      </c>
      <c r="V374" t="s">
        <v>664</v>
      </c>
      <c r="W374" t="s">
        <v>668</v>
      </c>
      <c r="X374" t="s">
        <v>224</v>
      </c>
    </row>
    <row r="375" spans="1:24">
      <c r="A375">
        <v>13527</v>
      </c>
      <c r="B375" t="s">
        <v>25</v>
      </c>
      <c r="C375" t="str">
        <f t="shared" si="10"/>
        <v>INTEGRA Saloon</v>
      </c>
      <c r="D375" t="str">
        <f t="shared" si="11"/>
        <v>1.5</v>
      </c>
      <c r="E375" t="s">
        <v>26</v>
      </c>
      <c r="F375">
        <v>198501</v>
      </c>
      <c r="G375">
        <v>199012</v>
      </c>
      <c r="H375">
        <v>63</v>
      </c>
      <c r="I375">
        <v>85</v>
      </c>
      <c r="J375">
        <v>1488</v>
      </c>
      <c r="K375">
        <v>3837193</v>
      </c>
      <c r="L375" t="s">
        <v>419</v>
      </c>
      <c r="M375" t="str">
        <f>"ADB3242"</f>
        <v>ADB3242</v>
      </c>
      <c r="N375" t="str">
        <f>"ADB3242"</f>
        <v>ADB3242</v>
      </c>
      <c r="O375" t="str">
        <f>"21312, 21313, 21314"</f>
        <v>21312, 21313, 21314</v>
      </c>
      <c r="P375" t="s">
        <v>664</v>
      </c>
      <c r="Q375" t="str">
        <f>""</f>
        <v/>
      </c>
      <c r="R375" t="s">
        <v>862</v>
      </c>
      <c r="T375" s="1" t="s">
        <v>863</v>
      </c>
      <c r="U375">
        <v>402</v>
      </c>
      <c r="V375" t="s">
        <v>664</v>
      </c>
      <c r="W375" t="s">
        <v>668</v>
      </c>
      <c r="X375" t="s">
        <v>224</v>
      </c>
    </row>
    <row r="376" spans="1:24">
      <c r="A376">
        <v>13527</v>
      </c>
      <c r="B376" t="s">
        <v>25</v>
      </c>
      <c r="C376" t="str">
        <f t="shared" si="10"/>
        <v>INTEGRA Saloon</v>
      </c>
      <c r="D376" t="str">
        <f t="shared" si="11"/>
        <v>1.5</v>
      </c>
      <c r="E376" t="s">
        <v>26</v>
      </c>
      <c r="F376">
        <v>198501</v>
      </c>
      <c r="G376">
        <v>199012</v>
      </c>
      <c r="H376">
        <v>63</v>
      </c>
      <c r="I376">
        <v>85</v>
      </c>
      <c r="J376">
        <v>1488</v>
      </c>
      <c r="K376">
        <v>3839349</v>
      </c>
      <c r="L376" t="s">
        <v>419</v>
      </c>
      <c r="M376" t="str">
        <f>"CBP0242"</f>
        <v>CBP0242</v>
      </c>
      <c r="N376" t="str">
        <f>"CBP0242"</f>
        <v>CBP0242</v>
      </c>
      <c r="O376" t="str">
        <f>"2131212.5"</f>
        <v>2131212.5</v>
      </c>
      <c r="P376" t="s">
        <v>664</v>
      </c>
      <c r="Q376" t="str">
        <f>""</f>
        <v/>
      </c>
      <c r="R376" t="s">
        <v>859</v>
      </c>
      <c r="T376" s="1" t="s">
        <v>864</v>
      </c>
      <c r="U376">
        <v>402</v>
      </c>
      <c r="V376" t="s">
        <v>664</v>
      </c>
      <c r="W376" t="s">
        <v>668</v>
      </c>
      <c r="X376" t="s">
        <v>224</v>
      </c>
    </row>
    <row r="377" spans="1:24">
      <c r="A377">
        <v>13527</v>
      </c>
      <c r="B377" t="s">
        <v>25</v>
      </c>
      <c r="C377" t="str">
        <f t="shared" si="10"/>
        <v>INTEGRA Saloon</v>
      </c>
      <c r="D377" t="str">
        <f t="shared" si="11"/>
        <v>1.5</v>
      </c>
      <c r="E377" t="s">
        <v>26</v>
      </c>
      <c r="F377">
        <v>198501</v>
      </c>
      <c r="G377">
        <v>199012</v>
      </c>
      <c r="H377">
        <v>63</v>
      </c>
      <c r="I377">
        <v>85</v>
      </c>
      <c r="J377">
        <v>1488</v>
      </c>
      <c r="K377">
        <v>3839420</v>
      </c>
      <c r="L377" t="s">
        <v>419</v>
      </c>
      <c r="M377" t="str">
        <f>"CBP0460"</f>
        <v>CBP0460</v>
      </c>
      <c r="N377" t="str">
        <f>"CBP0460"</f>
        <v>CBP0460</v>
      </c>
      <c r="O377" t="str">
        <f>"21312"</f>
        <v>21312</v>
      </c>
      <c r="P377" t="s">
        <v>664</v>
      </c>
      <c r="Q377" t="str">
        <f>""</f>
        <v/>
      </c>
      <c r="R377" t="s">
        <v>859</v>
      </c>
      <c r="T377" s="1" t="s">
        <v>865</v>
      </c>
      <c r="U377">
        <v>402</v>
      </c>
      <c r="V377" t="s">
        <v>664</v>
      </c>
      <c r="W377" t="s">
        <v>668</v>
      </c>
      <c r="X377" t="s">
        <v>224</v>
      </c>
    </row>
    <row r="378" spans="1:24">
      <c r="A378">
        <v>13527</v>
      </c>
      <c r="B378" t="s">
        <v>25</v>
      </c>
      <c r="C378" t="str">
        <f t="shared" si="10"/>
        <v>INTEGRA Saloon</v>
      </c>
      <c r="D378" t="str">
        <f t="shared" si="11"/>
        <v>1.5</v>
      </c>
      <c r="E378" t="s">
        <v>26</v>
      </c>
      <c r="F378">
        <v>198501</v>
      </c>
      <c r="G378">
        <v>199012</v>
      </c>
      <c r="H378">
        <v>63</v>
      </c>
      <c r="I378">
        <v>85</v>
      </c>
      <c r="J378">
        <v>1488</v>
      </c>
      <c r="K378">
        <v>3840001</v>
      </c>
      <c r="L378" t="s">
        <v>419</v>
      </c>
      <c r="M378" t="str">
        <f>"CBP3242"</f>
        <v>CBP3242</v>
      </c>
      <c r="N378" t="str">
        <f>"CBP3242"</f>
        <v>CBP3242</v>
      </c>
      <c r="O378" t="str">
        <f>"21312, 21313, 21314"</f>
        <v>21312, 21313, 21314</v>
      </c>
      <c r="P378" t="s">
        <v>664</v>
      </c>
      <c r="Q378" t="str">
        <f>""</f>
        <v/>
      </c>
      <c r="R378" t="s">
        <v>862</v>
      </c>
      <c r="T378" s="1" t="s">
        <v>866</v>
      </c>
      <c r="U378">
        <v>402</v>
      </c>
      <c r="V378" t="s">
        <v>664</v>
      </c>
      <c r="W378" t="s">
        <v>668</v>
      </c>
      <c r="X378" t="s">
        <v>224</v>
      </c>
    </row>
    <row r="379" spans="1:24">
      <c r="A379">
        <v>13527</v>
      </c>
      <c r="B379" t="s">
        <v>25</v>
      </c>
      <c r="C379" t="str">
        <f t="shared" si="10"/>
        <v>INTEGRA Saloon</v>
      </c>
      <c r="D379" t="str">
        <f t="shared" si="11"/>
        <v>1.5</v>
      </c>
      <c r="E379" t="s">
        <v>26</v>
      </c>
      <c r="F379">
        <v>198501</v>
      </c>
      <c r="G379">
        <v>199012</v>
      </c>
      <c r="H379">
        <v>63</v>
      </c>
      <c r="I379">
        <v>85</v>
      </c>
      <c r="J379">
        <v>1488</v>
      </c>
      <c r="K379">
        <v>3963670</v>
      </c>
      <c r="L379" t="s">
        <v>27</v>
      </c>
      <c r="M379" t="str">
        <f>"H02605"</f>
        <v>H02605</v>
      </c>
      <c r="N379" t="str">
        <f>"H026-05"</f>
        <v>H026-05</v>
      </c>
      <c r="O379" t="str">
        <f>""</f>
        <v/>
      </c>
      <c r="P379" t="s">
        <v>664</v>
      </c>
      <c r="Q379" t="str">
        <f>"8718993205594"</f>
        <v>8718993205594</v>
      </c>
      <c r="R379" t="s">
        <v>867</v>
      </c>
      <c r="T379" s="1" t="s">
        <v>868</v>
      </c>
      <c r="U379">
        <v>402</v>
      </c>
      <c r="V379" t="s">
        <v>664</v>
      </c>
      <c r="W379" t="s">
        <v>668</v>
      </c>
      <c r="X379" t="s">
        <v>224</v>
      </c>
    </row>
    <row r="380" spans="1:24">
      <c r="A380">
        <v>13527</v>
      </c>
      <c r="B380" t="s">
        <v>25</v>
      </c>
      <c r="C380" t="str">
        <f t="shared" si="10"/>
        <v>INTEGRA Saloon</v>
      </c>
      <c r="D380" t="str">
        <f t="shared" si="11"/>
        <v>1.5</v>
      </c>
      <c r="E380" t="s">
        <v>26</v>
      </c>
      <c r="F380">
        <v>198501</v>
      </c>
      <c r="G380">
        <v>199012</v>
      </c>
      <c r="H380">
        <v>63</v>
      </c>
      <c r="I380">
        <v>85</v>
      </c>
      <c r="J380">
        <v>1488</v>
      </c>
      <c r="K380">
        <v>4050085</v>
      </c>
      <c r="L380" t="s">
        <v>426</v>
      </c>
      <c r="M380" t="str">
        <f>"6260073"</f>
        <v>6260073</v>
      </c>
      <c r="N380" t="str">
        <f>"626.0073"</f>
        <v>626.0073</v>
      </c>
      <c r="O380" t="str">
        <f>"20099"</f>
        <v>20099</v>
      </c>
      <c r="P380" t="s">
        <v>664</v>
      </c>
      <c r="Q380" t="str">
        <f>"8432509026441"</f>
        <v>8432509026441</v>
      </c>
      <c r="R380" t="s">
        <v>869</v>
      </c>
      <c r="S380" t="s">
        <v>310</v>
      </c>
      <c r="T380" s="1" t="s">
        <v>870</v>
      </c>
      <c r="U380">
        <v>402</v>
      </c>
      <c r="V380" t="s">
        <v>664</v>
      </c>
      <c r="W380" t="s">
        <v>668</v>
      </c>
      <c r="X380" t="s">
        <v>224</v>
      </c>
    </row>
    <row r="381" spans="1:24">
      <c r="A381">
        <v>13527</v>
      </c>
      <c r="B381" t="s">
        <v>25</v>
      </c>
      <c r="C381" t="str">
        <f t="shared" si="10"/>
        <v>INTEGRA Saloon</v>
      </c>
      <c r="D381" t="str">
        <f t="shared" si="11"/>
        <v>1.5</v>
      </c>
      <c r="E381" t="s">
        <v>26</v>
      </c>
      <c r="F381">
        <v>198501</v>
      </c>
      <c r="G381">
        <v>199012</v>
      </c>
      <c r="H381">
        <v>63</v>
      </c>
      <c r="I381">
        <v>85</v>
      </c>
      <c r="J381">
        <v>1488</v>
      </c>
      <c r="K381">
        <v>4050354</v>
      </c>
      <c r="L381" t="s">
        <v>426</v>
      </c>
      <c r="M381" t="str">
        <f>"6260506"</f>
        <v>6260506</v>
      </c>
      <c r="N381" t="str">
        <f>"626.0506"</f>
        <v>626.0506</v>
      </c>
      <c r="O381" t="str">
        <f>"21312"</f>
        <v>21312</v>
      </c>
      <c r="P381" t="s">
        <v>664</v>
      </c>
      <c r="Q381" t="str">
        <f>"8432509030196"</f>
        <v>8432509030196</v>
      </c>
      <c r="R381" t="s">
        <v>871</v>
      </c>
      <c r="S381" t="s">
        <v>221</v>
      </c>
      <c r="T381" s="1" t="s">
        <v>872</v>
      </c>
      <c r="U381">
        <v>402</v>
      </c>
      <c r="V381" t="s">
        <v>664</v>
      </c>
      <c r="W381" t="s">
        <v>668</v>
      </c>
      <c r="X381" t="s">
        <v>224</v>
      </c>
    </row>
    <row r="382" spans="1:24">
      <c r="A382">
        <v>13527</v>
      </c>
      <c r="B382" t="s">
        <v>25</v>
      </c>
      <c r="C382" t="str">
        <f t="shared" si="10"/>
        <v>INTEGRA Saloon</v>
      </c>
      <c r="D382" t="str">
        <f t="shared" si="11"/>
        <v>1.5</v>
      </c>
      <c r="E382" t="s">
        <v>26</v>
      </c>
      <c r="F382">
        <v>198501</v>
      </c>
      <c r="G382">
        <v>199012</v>
      </c>
      <c r="H382">
        <v>63</v>
      </c>
      <c r="I382">
        <v>85</v>
      </c>
      <c r="J382">
        <v>1488</v>
      </c>
      <c r="K382">
        <v>4087208</v>
      </c>
      <c r="L382" t="s">
        <v>252</v>
      </c>
      <c r="M382" t="str">
        <f>"4311"</f>
        <v>4311</v>
      </c>
      <c r="N382" t="str">
        <f>"431.1"</f>
        <v>431.1</v>
      </c>
      <c r="O382" t="str">
        <f>"21448"</f>
        <v>21448</v>
      </c>
      <c r="P382" t="s">
        <v>664</v>
      </c>
      <c r="Q382" t="str">
        <f>"8016431043112"</f>
        <v>8016431043112</v>
      </c>
      <c r="R382" s="1" t="s">
        <v>873</v>
      </c>
      <c r="T382" s="1" t="s">
        <v>874</v>
      </c>
      <c r="U382">
        <v>402</v>
      </c>
      <c r="V382" t="s">
        <v>664</v>
      </c>
      <c r="W382" t="s">
        <v>668</v>
      </c>
      <c r="X382" t="s">
        <v>224</v>
      </c>
    </row>
    <row r="383" spans="1:24">
      <c r="A383">
        <v>13527</v>
      </c>
      <c r="B383" t="s">
        <v>25</v>
      </c>
      <c r="C383" t="str">
        <f t="shared" si="10"/>
        <v>INTEGRA Saloon</v>
      </c>
      <c r="D383" t="str">
        <f t="shared" si="11"/>
        <v>1.5</v>
      </c>
      <c r="E383" t="s">
        <v>26</v>
      </c>
      <c r="F383">
        <v>198501</v>
      </c>
      <c r="G383">
        <v>199012</v>
      </c>
      <c r="H383">
        <v>63</v>
      </c>
      <c r="I383">
        <v>85</v>
      </c>
      <c r="J383">
        <v>1488</v>
      </c>
      <c r="K383">
        <v>4087472</v>
      </c>
      <c r="L383" t="s">
        <v>252</v>
      </c>
      <c r="M383" t="str">
        <f>"6611"</f>
        <v>6611</v>
      </c>
      <c r="N383" t="str">
        <f>"661.1"</f>
        <v>661.1</v>
      </c>
      <c r="O383" t="str">
        <f>"20108"</f>
        <v>20108</v>
      </c>
      <c r="P383" t="s">
        <v>664</v>
      </c>
      <c r="Q383" t="str">
        <f>"8016431066111"</f>
        <v>8016431066111</v>
      </c>
      <c r="R383" s="1" t="s">
        <v>875</v>
      </c>
      <c r="T383" s="1" t="s">
        <v>876</v>
      </c>
      <c r="U383">
        <v>402</v>
      </c>
      <c r="V383" t="s">
        <v>664</v>
      </c>
      <c r="W383" t="s">
        <v>668</v>
      </c>
      <c r="X383" t="s">
        <v>224</v>
      </c>
    </row>
    <row r="384" spans="1:24">
      <c r="A384">
        <v>13527</v>
      </c>
      <c r="B384" t="s">
        <v>25</v>
      </c>
      <c r="C384" t="str">
        <f t="shared" si="10"/>
        <v>INTEGRA Saloon</v>
      </c>
      <c r="D384" t="str">
        <f t="shared" si="11"/>
        <v>1.5</v>
      </c>
      <c r="E384" t="s">
        <v>26</v>
      </c>
      <c r="F384">
        <v>198501</v>
      </c>
      <c r="G384">
        <v>199012</v>
      </c>
      <c r="H384">
        <v>63</v>
      </c>
      <c r="I384">
        <v>85</v>
      </c>
      <c r="J384">
        <v>1488</v>
      </c>
      <c r="K384">
        <v>4093250</v>
      </c>
      <c r="L384" t="s">
        <v>877</v>
      </c>
      <c r="M384" t="str">
        <f>"DFB5215"</f>
        <v>DFB5215</v>
      </c>
      <c r="N384" t="str">
        <f>"DFB5215"</f>
        <v>DFB5215</v>
      </c>
      <c r="O384" t="str">
        <f>""</f>
        <v/>
      </c>
      <c r="P384" t="s">
        <v>664</v>
      </c>
      <c r="Q384" t="str">
        <f>""</f>
        <v/>
      </c>
      <c r="R384" t="s">
        <v>878</v>
      </c>
      <c r="S384" t="s">
        <v>675</v>
      </c>
      <c r="T384" s="1" t="s">
        <v>879</v>
      </c>
      <c r="U384">
        <v>402</v>
      </c>
      <c r="V384" t="s">
        <v>664</v>
      </c>
      <c r="W384" t="s">
        <v>668</v>
      </c>
      <c r="X384" t="s">
        <v>224</v>
      </c>
    </row>
    <row r="385" spans="1:24">
      <c r="A385">
        <v>13527</v>
      </c>
      <c r="B385" t="s">
        <v>25</v>
      </c>
      <c r="C385" t="str">
        <f t="shared" si="10"/>
        <v>INTEGRA Saloon</v>
      </c>
      <c r="D385" t="str">
        <f t="shared" si="11"/>
        <v>1.5</v>
      </c>
      <c r="E385" t="s">
        <v>26</v>
      </c>
      <c r="F385">
        <v>198501</v>
      </c>
      <c r="G385">
        <v>199012</v>
      </c>
      <c r="H385">
        <v>63</v>
      </c>
      <c r="I385">
        <v>85</v>
      </c>
      <c r="J385">
        <v>1488</v>
      </c>
      <c r="K385">
        <v>4159416</v>
      </c>
      <c r="L385" t="s">
        <v>880</v>
      </c>
      <c r="M385" t="str">
        <f>"1511027"</f>
        <v>1511027</v>
      </c>
      <c r="N385" t="str">
        <f>"151-1027"</f>
        <v>151-1027</v>
      </c>
      <c r="O385" t="str">
        <f>"21313"</f>
        <v>21313</v>
      </c>
      <c r="P385" t="s">
        <v>664</v>
      </c>
      <c r="Q385" t="str">
        <f>""</f>
        <v/>
      </c>
      <c r="R385" t="s">
        <v>881</v>
      </c>
      <c r="S385" t="s">
        <v>675</v>
      </c>
      <c r="T385" s="1" t="s">
        <v>882</v>
      </c>
      <c r="U385">
        <v>402</v>
      </c>
      <c r="V385" t="s">
        <v>664</v>
      </c>
      <c r="W385" t="s">
        <v>668</v>
      </c>
      <c r="X385" t="s">
        <v>224</v>
      </c>
    </row>
    <row r="386" spans="1:24">
      <c r="A386">
        <v>13527</v>
      </c>
      <c r="B386" t="s">
        <v>25</v>
      </c>
      <c r="C386" t="str">
        <f t="shared" ref="C386:C449" si="12">"INTEGRA Saloon"</f>
        <v>INTEGRA Saloon</v>
      </c>
      <c r="D386" t="str">
        <f t="shared" ref="D386:D449" si="13">"1.5"</f>
        <v>1.5</v>
      </c>
      <c r="E386" t="s">
        <v>26</v>
      </c>
      <c r="F386">
        <v>198501</v>
      </c>
      <c r="G386">
        <v>199012</v>
      </c>
      <c r="H386">
        <v>63</v>
      </c>
      <c r="I386">
        <v>85</v>
      </c>
      <c r="J386">
        <v>1488</v>
      </c>
      <c r="K386">
        <v>4159878</v>
      </c>
      <c r="L386" t="s">
        <v>880</v>
      </c>
      <c r="M386" t="str">
        <f>"1511513"</f>
        <v>1511513</v>
      </c>
      <c r="N386" t="str">
        <f>"151-1513"</f>
        <v>151-1513</v>
      </c>
      <c r="O386" t="str">
        <f>"20104"</f>
        <v>20104</v>
      </c>
      <c r="P386" t="s">
        <v>664</v>
      </c>
      <c r="Q386" t="str">
        <f>""</f>
        <v/>
      </c>
      <c r="R386" t="s">
        <v>883</v>
      </c>
      <c r="S386" t="s">
        <v>316</v>
      </c>
      <c r="T386" s="1" t="s">
        <v>884</v>
      </c>
      <c r="U386">
        <v>402</v>
      </c>
      <c r="V386" t="s">
        <v>664</v>
      </c>
      <c r="W386" t="s">
        <v>668</v>
      </c>
      <c r="X386" t="s">
        <v>224</v>
      </c>
    </row>
    <row r="387" spans="1:24">
      <c r="A387">
        <v>13527</v>
      </c>
      <c r="B387" t="s">
        <v>25</v>
      </c>
      <c r="C387" t="str">
        <f t="shared" si="12"/>
        <v>INTEGRA Saloon</v>
      </c>
      <c r="D387" t="str">
        <f t="shared" si="13"/>
        <v>1.5</v>
      </c>
      <c r="E387" t="s">
        <v>26</v>
      </c>
      <c r="F387">
        <v>198501</v>
      </c>
      <c r="G387">
        <v>199012</v>
      </c>
      <c r="H387">
        <v>63</v>
      </c>
      <c r="I387">
        <v>85</v>
      </c>
      <c r="J387">
        <v>1488</v>
      </c>
      <c r="K387">
        <v>4160423</v>
      </c>
      <c r="L387" t="s">
        <v>880</v>
      </c>
      <c r="M387" t="str">
        <f>"1512103"</f>
        <v>1512103</v>
      </c>
      <c r="N387" t="str">
        <f>"151-2103"</f>
        <v>151-2103</v>
      </c>
      <c r="O387" t="str">
        <f>"21447"</f>
        <v>21447</v>
      </c>
      <c r="P387" t="s">
        <v>664</v>
      </c>
      <c r="Q387" t="str">
        <f>""</f>
        <v/>
      </c>
      <c r="R387" t="s">
        <v>885</v>
      </c>
      <c r="S387" t="s">
        <v>678</v>
      </c>
      <c r="T387" s="1" t="s">
        <v>886</v>
      </c>
      <c r="U387">
        <v>402</v>
      </c>
      <c r="V387" t="s">
        <v>664</v>
      </c>
      <c r="W387" t="s">
        <v>668</v>
      </c>
      <c r="X387" t="s">
        <v>224</v>
      </c>
    </row>
    <row r="388" spans="1:24">
      <c r="A388">
        <v>13527</v>
      </c>
      <c r="B388" t="s">
        <v>25</v>
      </c>
      <c r="C388" t="str">
        <f t="shared" si="12"/>
        <v>INTEGRA Saloon</v>
      </c>
      <c r="D388" t="str">
        <f t="shared" si="13"/>
        <v>1.5</v>
      </c>
      <c r="E388" t="s">
        <v>26</v>
      </c>
      <c r="F388">
        <v>198501</v>
      </c>
      <c r="G388">
        <v>199012</v>
      </c>
      <c r="H388">
        <v>63</v>
      </c>
      <c r="I388">
        <v>85</v>
      </c>
      <c r="J388">
        <v>1488</v>
      </c>
      <c r="K388">
        <v>4198299</v>
      </c>
      <c r="L388" t="s">
        <v>255</v>
      </c>
      <c r="M388" t="str">
        <f>"C14026ABE"</f>
        <v>C14026ABE</v>
      </c>
      <c r="N388" t="str">
        <f>"C14026ABE"</f>
        <v>C14026ABE</v>
      </c>
      <c r="O388" t="str">
        <f>""</f>
        <v/>
      </c>
      <c r="P388" t="s">
        <v>664</v>
      </c>
      <c r="Q388" t="str">
        <f>""</f>
        <v/>
      </c>
      <c r="R388" t="s">
        <v>887</v>
      </c>
      <c r="S388" t="s">
        <v>888</v>
      </c>
      <c r="T388" s="1" t="s">
        <v>889</v>
      </c>
      <c r="U388">
        <v>402</v>
      </c>
      <c r="V388" t="s">
        <v>664</v>
      </c>
      <c r="W388" t="s">
        <v>668</v>
      </c>
      <c r="X388" t="s">
        <v>224</v>
      </c>
    </row>
    <row r="389" spans="1:24">
      <c r="A389">
        <v>13527</v>
      </c>
      <c r="B389" t="s">
        <v>25</v>
      </c>
      <c r="C389" t="str">
        <f t="shared" si="12"/>
        <v>INTEGRA Saloon</v>
      </c>
      <c r="D389" t="str">
        <f t="shared" si="13"/>
        <v>1.5</v>
      </c>
      <c r="E389" t="s">
        <v>26</v>
      </c>
      <c r="F389">
        <v>198501</v>
      </c>
      <c r="G389">
        <v>199012</v>
      </c>
      <c r="H389">
        <v>63</v>
      </c>
      <c r="I389">
        <v>85</v>
      </c>
      <c r="J389">
        <v>1488</v>
      </c>
      <c r="K389">
        <v>4198817</v>
      </c>
      <c r="L389" t="s">
        <v>255</v>
      </c>
      <c r="M389" t="str">
        <f>"C24002ABE"</f>
        <v>C24002ABE</v>
      </c>
      <c r="N389" t="str">
        <f>"C24002ABE"</f>
        <v>C24002ABE</v>
      </c>
      <c r="O389" t="str">
        <f>""</f>
        <v/>
      </c>
      <c r="P389" t="s">
        <v>664</v>
      </c>
      <c r="Q389" t="str">
        <f>""</f>
        <v/>
      </c>
      <c r="R389" t="s">
        <v>890</v>
      </c>
      <c r="S389" t="s">
        <v>696</v>
      </c>
      <c r="T389" s="1" t="s">
        <v>891</v>
      </c>
      <c r="U389">
        <v>402</v>
      </c>
      <c r="V389" t="s">
        <v>664</v>
      </c>
      <c r="W389" t="s">
        <v>668</v>
      </c>
      <c r="X389" t="s">
        <v>224</v>
      </c>
    </row>
    <row r="390" spans="1:24">
      <c r="A390">
        <v>13527</v>
      </c>
      <c r="B390" t="s">
        <v>25</v>
      </c>
      <c r="C390" t="str">
        <f t="shared" si="12"/>
        <v>INTEGRA Saloon</v>
      </c>
      <c r="D390" t="str">
        <f t="shared" si="13"/>
        <v>1.5</v>
      </c>
      <c r="E390" t="s">
        <v>26</v>
      </c>
      <c r="F390">
        <v>198501</v>
      </c>
      <c r="G390">
        <v>199012</v>
      </c>
      <c r="H390">
        <v>63</v>
      </c>
      <c r="I390">
        <v>85</v>
      </c>
      <c r="J390">
        <v>1488</v>
      </c>
      <c r="K390">
        <v>4270563</v>
      </c>
      <c r="L390" t="s">
        <v>436</v>
      </c>
      <c r="M390" t="str">
        <f>"BP1216"</f>
        <v>BP1216</v>
      </c>
      <c r="N390" t="str">
        <f>"BP1216"</f>
        <v>BP1216</v>
      </c>
      <c r="O390" t="str">
        <f>""</f>
        <v/>
      </c>
      <c r="P390" t="s">
        <v>664</v>
      </c>
      <c r="Q390" t="str">
        <f>""</f>
        <v/>
      </c>
      <c r="R390" t="s">
        <v>892</v>
      </c>
      <c r="T390" s="1" t="s">
        <v>893</v>
      </c>
      <c r="U390">
        <v>402</v>
      </c>
      <c r="V390" t="s">
        <v>664</v>
      </c>
      <c r="W390" t="s">
        <v>668</v>
      </c>
      <c r="X390" t="s">
        <v>224</v>
      </c>
    </row>
    <row r="391" spans="1:24">
      <c r="A391">
        <v>13527</v>
      </c>
      <c r="B391" t="s">
        <v>25</v>
      </c>
      <c r="C391" t="str">
        <f t="shared" si="12"/>
        <v>INTEGRA Saloon</v>
      </c>
      <c r="D391" t="str">
        <f t="shared" si="13"/>
        <v>1.5</v>
      </c>
      <c r="E391" t="s">
        <v>26</v>
      </c>
      <c r="F391">
        <v>198501</v>
      </c>
      <c r="G391">
        <v>199012</v>
      </c>
      <c r="H391">
        <v>63</v>
      </c>
      <c r="I391">
        <v>85</v>
      </c>
      <c r="J391">
        <v>1488</v>
      </c>
      <c r="K391">
        <v>4270571</v>
      </c>
      <c r="L391" t="s">
        <v>436</v>
      </c>
      <c r="M391" t="str">
        <f>"BP1226"</f>
        <v>BP1226</v>
      </c>
      <c r="N391" t="str">
        <f>"BP1226"</f>
        <v>BP1226</v>
      </c>
      <c r="O391" t="str">
        <f>""</f>
        <v/>
      </c>
      <c r="P391" t="s">
        <v>664</v>
      </c>
      <c r="Q391" t="str">
        <f>""</f>
        <v/>
      </c>
      <c r="R391" t="s">
        <v>894</v>
      </c>
      <c r="T391" s="1" t="s">
        <v>895</v>
      </c>
      <c r="U391">
        <v>402</v>
      </c>
      <c r="V391" t="s">
        <v>664</v>
      </c>
      <c r="W391" t="s">
        <v>668</v>
      </c>
      <c r="X391" t="s">
        <v>224</v>
      </c>
    </row>
    <row r="392" spans="1:24">
      <c r="A392">
        <v>13527</v>
      </c>
      <c r="B392" t="s">
        <v>25</v>
      </c>
      <c r="C392" t="str">
        <f t="shared" si="12"/>
        <v>INTEGRA Saloon</v>
      </c>
      <c r="D392" t="str">
        <f t="shared" si="13"/>
        <v>1.5</v>
      </c>
      <c r="E392" t="s">
        <v>26</v>
      </c>
      <c r="F392">
        <v>198501</v>
      </c>
      <c r="G392">
        <v>199012</v>
      </c>
      <c r="H392">
        <v>63</v>
      </c>
      <c r="I392">
        <v>85</v>
      </c>
      <c r="J392">
        <v>1488</v>
      </c>
      <c r="K392">
        <v>4270593</v>
      </c>
      <c r="L392" t="s">
        <v>436</v>
      </c>
      <c r="M392" t="str">
        <f>"BP1252"</f>
        <v>BP1252</v>
      </c>
      <c r="N392" t="str">
        <f>"BP1252"</f>
        <v>BP1252</v>
      </c>
      <c r="O392" t="str">
        <f>""</f>
        <v/>
      </c>
      <c r="P392" t="s">
        <v>664</v>
      </c>
      <c r="Q392" t="str">
        <f>""</f>
        <v/>
      </c>
      <c r="R392" t="s">
        <v>896</v>
      </c>
      <c r="T392" s="1" t="s">
        <v>897</v>
      </c>
      <c r="U392">
        <v>402</v>
      </c>
      <c r="V392" t="s">
        <v>664</v>
      </c>
      <c r="W392" t="s">
        <v>668</v>
      </c>
      <c r="X392" t="s">
        <v>224</v>
      </c>
    </row>
    <row r="393" spans="1:24">
      <c r="A393">
        <v>13527</v>
      </c>
      <c r="B393" t="s">
        <v>25</v>
      </c>
      <c r="C393" t="str">
        <f t="shared" si="12"/>
        <v>INTEGRA Saloon</v>
      </c>
      <c r="D393" t="str">
        <f t="shared" si="13"/>
        <v>1.5</v>
      </c>
      <c r="E393" t="s">
        <v>26</v>
      </c>
      <c r="F393">
        <v>198501</v>
      </c>
      <c r="G393">
        <v>199012</v>
      </c>
      <c r="H393">
        <v>63</v>
      </c>
      <c r="I393">
        <v>85</v>
      </c>
      <c r="J393">
        <v>1488</v>
      </c>
      <c r="K393">
        <v>4277656</v>
      </c>
      <c r="L393" t="s">
        <v>129</v>
      </c>
      <c r="M393" t="str">
        <f>"18500058017"</f>
        <v>18500058017</v>
      </c>
      <c r="N393" t="str">
        <f>"1850.0058017"</f>
        <v>1850.0058017</v>
      </c>
      <c r="O393" t="str">
        <f>"23237"</f>
        <v>23237</v>
      </c>
      <c r="P393" t="s">
        <v>664</v>
      </c>
      <c r="Q393" t="str">
        <f>"8421779532233"</f>
        <v>8421779532233</v>
      </c>
      <c r="R393" t="s">
        <v>898</v>
      </c>
      <c r="T393" t="s">
        <v>899</v>
      </c>
      <c r="U393">
        <v>402</v>
      </c>
      <c r="V393" t="s">
        <v>664</v>
      </c>
      <c r="W393" t="s">
        <v>668</v>
      </c>
      <c r="X393" t="s">
        <v>224</v>
      </c>
    </row>
    <row r="394" spans="1:24">
      <c r="A394">
        <v>13527</v>
      </c>
      <c r="B394" t="s">
        <v>25</v>
      </c>
      <c r="C394" t="str">
        <f t="shared" si="12"/>
        <v>INTEGRA Saloon</v>
      </c>
      <c r="D394" t="str">
        <f t="shared" si="13"/>
        <v>1.5</v>
      </c>
      <c r="E394" t="s">
        <v>26</v>
      </c>
      <c r="F394">
        <v>198501</v>
      </c>
      <c r="G394">
        <v>199012</v>
      </c>
      <c r="H394">
        <v>63</v>
      </c>
      <c r="I394">
        <v>85</v>
      </c>
      <c r="J394">
        <v>1488</v>
      </c>
      <c r="K394">
        <v>4277701</v>
      </c>
      <c r="L394" t="s">
        <v>129</v>
      </c>
      <c r="M394" t="str">
        <f>"18500058062"</f>
        <v>18500058062</v>
      </c>
      <c r="N394" t="str">
        <f>"1850.0058062"</f>
        <v>1850.0058062</v>
      </c>
      <c r="O394" t="str">
        <f>"21312"</f>
        <v>21312</v>
      </c>
      <c r="P394" t="s">
        <v>664</v>
      </c>
      <c r="Q394" t="str">
        <f>"8421779532684"</f>
        <v>8421779532684</v>
      </c>
      <c r="R394" t="s">
        <v>900</v>
      </c>
      <c r="T394" t="s">
        <v>901</v>
      </c>
      <c r="U394">
        <v>402</v>
      </c>
      <c r="V394" t="s">
        <v>664</v>
      </c>
      <c r="W394" t="s">
        <v>668</v>
      </c>
      <c r="X394" t="s">
        <v>224</v>
      </c>
    </row>
    <row r="395" spans="1:24">
      <c r="A395">
        <v>13527</v>
      </c>
      <c r="B395" t="s">
        <v>25</v>
      </c>
      <c r="C395" t="str">
        <f t="shared" si="12"/>
        <v>INTEGRA Saloon</v>
      </c>
      <c r="D395" t="str">
        <f t="shared" si="13"/>
        <v>1.5</v>
      </c>
      <c r="E395" t="s">
        <v>26</v>
      </c>
      <c r="F395">
        <v>198501</v>
      </c>
      <c r="G395">
        <v>199012</v>
      </c>
      <c r="H395">
        <v>63</v>
      </c>
      <c r="I395">
        <v>85</v>
      </c>
      <c r="J395">
        <v>1488</v>
      </c>
      <c r="K395">
        <v>4391036</v>
      </c>
      <c r="L395" t="s">
        <v>507</v>
      </c>
      <c r="M395" t="str">
        <f>"657010BSX"</f>
        <v>657010BSX</v>
      </c>
      <c r="N395" t="str">
        <f>"657 010B-SX"</f>
        <v>657 010B-SX</v>
      </c>
      <c r="O395" t="str">
        <f>"PCA064610"</f>
        <v>PCA064610</v>
      </c>
      <c r="P395" t="s">
        <v>664</v>
      </c>
      <c r="Q395" t="str">
        <f>""</f>
        <v/>
      </c>
      <c r="R395" t="s">
        <v>902</v>
      </c>
      <c r="T395" t="s">
        <v>903</v>
      </c>
      <c r="U395">
        <v>402</v>
      </c>
      <c r="V395" t="s">
        <v>664</v>
      </c>
      <c r="W395" t="s">
        <v>668</v>
      </c>
      <c r="X395" t="s">
        <v>224</v>
      </c>
    </row>
    <row r="396" spans="1:24">
      <c r="A396">
        <v>13527</v>
      </c>
      <c r="B396" t="s">
        <v>25</v>
      </c>
      <c r="C396" t="str">
        <f t="shared" si="12"/>
        <v>INTEGRA Saloon</v>
      </c>
      <c r="D396" t="str">
        <f t="shared" si="13"/>
        <v>1.5</v>
      </c>
      <c r="E396" t="s">
        <v>26</v>
      </c>
      <c r="F396">
        <v>198501</v>
      </c>
      <c r="G396">
        <v>199012</v>
      </c>
      <c r="H396">
        <v>63</v>
      </c>
      <c r="I396">
        <v>85</v>
      </c>
      <c r="J396">
        <v>1488</v>
      </c>
      <c r="K396">
        <v>4416298</v>
      </c>
      <c r="L396" t="s">
        <v>193</v>
      </c>
      <c r="M396" t="str">
        <f>"BD3428"</f>
        <v>BD3428</v>
      </c>
      <c r="N396" t="str">
        <f>"BD-3428"</f>
        <v>BD-3428</v>
      </c>
      <c r="O396" t="str">
        <f>""</f>
        <v/>
      </c>
      <c r="P396" t="s">
        <v>664</v>
      </c>
      <c r="Q396" t="str">
        <f>"4905601063200"</f>
        <v>4905601063200</v>
      </c>
      <c r="R396" t="s">
        <v>904</v>
      </c>
      <c r="S396" t="s">
        <v>905</v>
      </c>
      <c r="T396" s="1" t="s">
        <v>906</v>
      </c>
      <c r="U396">
        <v>402</v>
      </c>
      <c r="V396" t="s">
        <v>664</v>
      </c>
      <c r="W396" t="s">
        <v>668</v>
      </c>
      <c r="X396" t="s">
        <v>224</v>
      </c>
    </row>
    <row r="397" spans="1:24">
      <c r="A397">
        <v>13527</v>
      </c>
      <c r="B397" t="s">
        <v>25</v>
      </c>
      <c r="C397" t="str">
        <f t="shared" si="12"/>
        <v>INTEGRA Saloon</v>
      </c>
      <c r="D397" t="str">
        <f t="shared" si="13"/>
        <v>1.5</v>
      </c>
      <c r="E397" t="s">
        <v>26</v>
      </c>
      <c r="F397">
        <v>198501</v>
      </c>
      <c r="G397">
        <v>199012</v>
      </c>
      <c r="H397">
        <v>63</v>
      </c>
      <c r="I397">
        <v>85</v>
      </c>
      <c r="J397">
        <v>1488</v>
      </c>
      <c r="K397">
        <v>4416299</v>
      </c>
      <c r="L397" t="s">
        <v>193</v>
      </c>
      <c r="M397" t="str">
        <f>"BD3429"</f>
        <v>BD3429</v>
      </c>
      <c r="N397" t="str">
        <f>"BD-3429"</f>
        <v>BD-3429</v>
      </c>
      <c r="O397" t="str">
        <f>""</f>
        <v/>
      </c>
      <c r="P397" t="s">
        <v>664</v>
      </c>
      <c r="Q397" t="str">
        <f>""</f>
        <v/>
      </c>
      <c r="R397" t="s">
        <v>907</v>
      </c>
      <c r="S397" t="s">
        <v>287</v>
      </c>
      <c r="T397" s="1" t="s">
        <v>908</v>
      </c>
      <c r="U397">
        <v>402</v>
      </c>
      <c r="V397" t="s">
        <v>664</v>
      </c>
      <c r="W397" t="s">
        <v>668</v>
      </c>
      <c r="X397" t="s">
        <v>224</v>
      </c>
    </row>
    <row r="398" spans="1:24">
      <c r="A398">
        <v>13527</v>
      </c>
      <c r="B398" t="s">
        <v>25</v>
      </c>
      <c r="C398" t="str">
        <f t="shared" si="12"/>
        <v>INTEGRA Saloon</v>
      </c>
      <c r="D398" t="str">
        <f t="shared" si="13"/>
        <v>1.5</v>
      </c>
      <c r="E398" t="s">
        <v>26</v>
      </c>
      <c r="F398">
        <v>198501</v>
      </c>
      <c r="G398">
        <v>199012</v>
      </c>
      <c r="H398">
        <v>63</v>
      </c>
      <c r="I398">
        <v>85</v>
      </c>
      <c r="J398">
        <v>1488</v>
      </c>
      <c r="K398">
        <v>4474272</v>
      </c>
      <c r="L398" t="s">
        <v>909</v>
      </c>
      <c r="M398" t="str">
        <f>"8DB355005731"</f>
        <v>8DB355005731</v>
      </c>
      <c r="N398" t="str">
        <f>"8DB 355 005-731"</f>
        <v>8DB 355 005-731</v>
      </c>
      <c r="O398" t="str">
        <f>"T0034"</f>
        <v>T0034</v>
      </c>
      <c r="P398" t="s">
        <v>664</v>
      </c>
      <c r="Q398" t="str">
        <f>"4082300350043"</f>
        <v>4082300350043</v>
      </c>
      <c r="R398" t="s">
        <v>691</v>
      </c>
      <c r="S398" t="s">
        <v>221</v>
      </c>
      <c r="T398" s="1" t="s">
        <v>692</v>
      </c>
      <c r="U398">
        <v>402</v>
      </c>
      <c r="V398" t="s">
        <v>664</v>
      </c>
      <c r="W398" t="s">
        <v>668</v>
      </c>
      <c r="X398" t="s">
        <v>224</v>
      </c>
    </row>
    <row r="399" spans="1:24">
      <c r="A399">
        <v>13527</v>
      </c>
      <c r="B399" t="s">
        <v>25</v>
      </c>
      <c r="C399" t="str">
        <f t="shared" si="12"/>
        <v>INTEGRA Saloon</v>
      </c>
      <c r="D399" t="str">
        <f t="shared" si="13"/>
        <v>1.5</v>
      </c>
      <c r="E399" t="s">
        <v>26</v>
      </c>
      <c r="F399">
        <v>198501</v>
      </c>
      <c r="G399">
        <v>199012</v>
      </c>
      <c r="H399">
        <v>63</v>
      </c>
      <c r="I399">
        <v>85</v>
      </c>
      <c r="J399">
        <v>1488</v>
      </c>
      <c r="K399">
        <v>4474325</v>
      </c>
      <c r="L399" t="s">
        <v>909</v>
      </c>
      <c r="M399" t="str">
        <f>"8DB355006261"</f>
        <v>8DB355006261</v>
      </c>
      <c r="N399" t="str">
        <f>"8DB 355 006-261"</f>
        <v>8DB 355 006-261</v>
      </c>
      <c r="O399" t="str">
        <f>"T0365"</f>
        <v>T0365</v>
      </c>
      <c r="P399" t="s">
        <v>664</v>
      </c>
      <c r="Q399" t="str">
        <f>"4082300350579"</f>
        <v>4082300350579</v>
      </c>
      <c r="R399" t="s">
        <v>693</v>
      </c>
      <c r="S399" t="s">
        <v>310</v>
      </c>
      <c r="T399" s="1" t="s">
        <v>694</v>
      </c>
      <c r="U399">
        <v>402</v>
      </c>
      <c r="V399" t="s">
        <v>664</v>
      </c>
      <c r="W399" t="s">
        <v>668</v>
      </c>
      <c r="X399" t="s">
        <v>224</v>
      </c>
    </row>
    <row r="400" spans="1:24">
      <c r="A400">
        <v>13527</v>
      </c>
      <c r="B400" t="s">
        <v>25</v>
      </c>
      <c r="C400" t="str">
        <f t="shared" si="12"/>
        <v>INTEGRA Saloon</v>
      </c>
      <c r="D400" t="str">
        <f t="shared" si="13"/>
        <v>1.5</v>
      </c>
      <c r="E400" t="s">
        <v>26</v>
      </c>
      <c r="F400">
        <v>198501</v>
      </c>
      <c r="G400">
        <v>199012</v>
      </c>
      <c r="H400">
        <v>63</v>
      </c>
      <c r="I400">
        <v>85</v>
      </c>
      <c r="J400">
        <v>1488</v>
      </c>
      <c r="K400">
        <v>4541905</v>
      </c>
      <c r="L400" t="s">
        <v>910</v>
      </c>
      <c r="M400" t="str">
        <f>"PF1532"</f>
        <v>PF1532</v>
      </c>
      <c r="N400" t="str">
        <f>"PF1532"</f>
        <v>PF1532</v>
      </c>
      <c r="O400" t="str">
        <f>""</f>
        <v/>
      </c>
      <c r="P400" t="s">
        <v>664</v>
      </c>
      <c r="Q400" t="str">
        <f>""</f>
        <v/>
      </c>
      <c r="R400" t="s">
        <v>911</v>
      </c>
      <c r="S400" t="s">
        <v>675</v>
      </c>
      <c r="T400" s="1" t="s">
        <v>912</v>
      </c>
      <c r="U400">
        <v>402</v>
      </c>
      <c r="V400" t="s">
        <v>664</v>
      </c>
      <c r="W400" t="s">
        <v>668</v>
      </c>
      <c r="X400" t="s">
        <v>224</v>
      </c>
    </row>
    <row r="401" spans="1:25">
      <c r="A401">
        <v>13527</v>
      </c>
      <c r="B401" t="s">
        <v>25</v>
      </c>
      <c r="C401" t="str">
        <f t="shared" si="12"/>
        <v>INTEGRA Saloon</v>
      </c>
      <c r="D401" t="str">
        <f t="shared" si="13"/>
        <v>1.5</v>
      </c>
      <c r="E401" t="s">
        <v>26</v>
      </c>
      <c r="F401">
        <v>198501</v>
      </c>
      <c r="G401">
        <v>199012</v>
      </c>
      <c r="H401">
        <v>63</v>
      </c>
      <c r="I401">
        <v>85</v>
      </c>
      <c r="J401">
        <v>1488</v>
      </c>
      <c r="K401">
        <v>4957470</v>
      </c>
      <c r="L401" t="s">
        <v>258</v>
      </c>
      <c r="M401" t="str">
        <f>"BP2349"</f>
        <v>BP2349</v>
      </c>
      <c r="N401" t="str">
        <f>"BP2349"</f>
        <v>BP2349</v>
      </c>
      <c r="O401" t="str">
        <f>"20104"</f>
        <v>20104</v>
      </c>
      <c r="P401" t="s">
        <v>664</v>
      </c>
      <c r="Q401" t="str">
        <f>"805014100295"</f>
        <v>805014100295</v>
      </c>
      <c r="R401" t="s">
        <v>913</v>
      </c>
      <c r="T401" s="1" t="s">
        <v>914</v>
      </c>
      <c r="U401">
        <v>402</v>
      </c>
      <c r="V401" t="s">
        <v>664</v>
      </c>
      <c r="W401" t="s">
        <v>668</v>
      </c>
      <c r="X401" t="s">
        <v>224</v>
      </c>
    </row>
    <row r="402" spans="1:25">
      <c r="A402">
        <v>13527</v>
      </c>
      <c r="B402" t="s">
        <v>25</v>
      </c>
      <c r="C402" t="str">
        <f t="shared" si="12"/>
        <v>INTEGRA Saloon</v>
      </c>
      <c r="D402" t="str">
        <f t="shared" si="13"/>
        <v>1.5</v>
      </c>
      <c r="E402" t="s">
        <v>26</v>
      </c>
      <c r="F402">
        <v>198501</v>
      </c>
      <c r="G402">
        <v>199012</v>
      </c>
      <c r="H402">
        <v>63</v>
      </c>
      <c r="I402">
        <v>85</v>
      </c>
      <c r="J402">
        <v>1488</v>
      </c>
      <c r="K402">
        <v>4957491</v>
      </c>
      <c r="L402" t="s">
        <v>258</v>
      </c>
      <c r="M402" t="str">
        <f>"BP2371"</f>
        <v>BP2371</v>
      </c>
      <c r="N402" t="str">
        <f>"BP2371"</f>
        <v>BP2371</v>
      </c>
      <c r="O402" t="str">
        <f>"20067"</f>
        <v>20067</v>
      </c>
      <c r="P402" t="s">
        <v>664</v>
      </c>
      <c r="Q402" t="str">
        <f>"805014100316"</f>
        <v>805014100316</v>
      </c>
      <c r="R402" t="s">
        <v>915</v>
      </c>
      <c r="T402" s="1" t="s">
        <v>916</v>
      </c>
      <c r="U402">
        <v>402</v>
      </c>
      <c r="V402" t="s">
        <v>664</v>
      </c>
      <c r="W402" t="s">
        <v>668</v>
      </c>
      <c r="X402" t="s">
        <v>224</v>
      </c>
    </row>
    <row r="403" spans="1:25">
      <c r="A403">
        <v>13527</v>
      </c>
      <c r="B403" t="s">
        <v>25</v>
      </c>
      <c r="C403" t="str">
        <f t="shared" si="12"/>
        <v>INTEGRA Saloon</v>
      </c>
      <c r="D403" t="str">
        <f t="shared" si="13"/>
        <v>1.5</v>
      </c>
      <c r="E403" t="s">
        <v>26</v>
      </c>
      <c r="F403">
        <v>198501</v>
      </c>
      <c r="G403">
        <v>199012</v>
      </c>
      <c r="H403">
        <v>63</v>
      </c>
      <c r="I403">
        <v>85</v>
      </c>
      <c r="J403">
        <v>1488</v>
      </c>
      <c r="K403">
        <v>4957515</v>
      </c>
      <c r="L403" t="s">
        <v>258</v>
      </c>
      <c r="M403" t="str">
        <f>"BP2396"</f>
        <v>BP2396</v>
      </c>
      <c r="N403" t="str">
        <f>"BP2396"</f>
        <v>BP2396</v>
      </c>
      <c r="O403" t="str">
        <f>"21312"</f>
        <v>21312</v>
      </c>
      <c r="P403" t="s">
        <v>664</v>
      </c>
      <c r="Q403" t="str">
        <f>"805014100341"</f>
        <v>805014100341</v>
      </c>
      <c r="R403" t="s">
        <v>917</v>
      </c>
      <c r="T403" s="1" t="s">
        <v>918</v>
      </c>
      <c r="U403">
        <v>402</v>
      </c>
      <c r="V403" t="s">
        <v>664</v>
      </c>
      <c r="W403" t="s">
        <v>668</v>
      </c>
      <c r="X403" t="s">
        <v>224</v>
      </c>
    </row>
    <row r="404" spans="1:25">
      <c r="A404">
        <v>13527</v>
      </c>
      <c r="B404" t="s">
        <v>25</v>
      </c>
      <c r="C404" t="str">
        <f t="shared" si="12"/>
        <v>INTEGRA Saloon</v>
      </c>
      <c r="D404" t="str">
        <f t="shared" si="13"/>
        <v>1.5</v>
      </c>
      <c r="E404" t="s">
        <v>26</v>
      </c>
      <c r="F404">
        <v>198501</v>
      </c>
      <c r="G404">
        <v>199012</v>
      </c>
      <c r="H404">
        <v>63</v>
      </c>
      <c r="I404">
        <v>85</v>
      </c>
      <c r="J404">
        <v>1488</v>
      </c>
      <c r="K404">
        <v>4957596</v>
      </c>
      <c r="L404" t="s">
        <v>258</v>
      </c>
      <c r="M404" t="str">
        <f>"BP2479"</f>
        <v>BP2479</v>
      </c>
      <c r="N404" t="str">
        <f>"BP2479"</f>
        <v>BP2479</v>
      </c>
      <c r="O404" t="str">
        <f>"21323"</f>
        <v>21323</v>
      </c>
      <c r="P404" t="s">
        <v>664</v>
      </c>
      <c r="Q404" t="str">
        <f>"805014100422"</f>
        <v>805014100422</v>
      </c>
      <c r="R404" t="s">
        <v>919</v>
      </c>
      <c r="T404" s="1" t="s">
        <v>920</v>
      </c>
      <c r="U404">
        <v>402</v>
      </c>
      <c r="V404" t="s">
        <v>664</v>
      </c>
      <c r="W404" t="s">
        <v>668</v>
      </c>
      <c r="X404" t="s">
        <v>224</v>
      </c>
    </row>
    <row r="405" spans="1:25">
      <c r="A405">
        <v>13527</v>
      </c>
      <c r="B405" t="s">
        <v>25</v>
      </c>
      <c r="C405" t="str">
        <f t="shared" si="12"/>
        <v>INTEGRA Saloon</v>
      </c>
      <c r="D405" t="str">
        <f t="shared" si="13"/>
        <v>1.5</v>
      </c>
      <c r="E405" t="s">
        <v>26</v>
      </c>
      <c r="F405">
        <v>198501</v>
      </c>
      <c r="G405">
        <v>199012</v>
      </c>
      <c r="H405">
        <v>63</v>
      </c>
      <c r="I405">
        <v>85</v>
      </c>
      <c r="J405">
        <v>1488</v>
      </c>
      <c r="K405">
        <v>4957597</v>
      </c>
      <c r="L405" t="s">
        <v>258</v>
      </c>
      <c r="M405" t="str">
        <f>"BP2480"</f>
        <v>BP2480</v>
      </c>
      <c r="N405" t="str">
        <f>"BP2480"</f>
        <v>BP2480</v>
      </c>
      <c r="O405" t="str">
        <f>"21446"</f>
        <v>21446</v>
      </c>
      <c r="P405" t="s">
        <v>664</v>
      </c>
      <c r="Q405" t="str">
        <f>"805014100423"</f>
        <v>805014100423</v>
      </c>
      <c r="R405" t="s">
        <v>921</v>
      </c>
      <c r="T405" s="1" t="s">
        <v>922</v>
      </c>
      <c r="U405">
        <v>402</v>
      </c>
      <c r="V405" t="s">
        <v>664</v>
      </c>
      <c r="W405" t="s">
        <v>668</v>
      </c>
      <c r="X405" t="s">
        <v>224</v>
      </c>
    </row>
    <row r="406" spans="1:25">
      <c r="A406">
        <v>13527</v>
      </c>
      <c r="B406" t="s">
        <v>25</v>
      </c>
      <c r="C406" t="str">
        <f t="shared" si="12"/>
        <v>INTEGRA Saloon</v>
      </c>
      <c r="D406" t="str">
        <f t="shared" si="13"/>
        <v>1.5</v>
      </c>
      <c r="E406" t="s">
        <v>26</v>
      </c>
      <c r="F406">
        <v>198501</v>
      </c>
      <c r="G406">
        <v>199012</v>
      </c>
      <c r="H406">
        <v>63</v>
      </c>
      <c r="I406">
        <v>85</v>
      </c>
      <c r="J406">
        <v>1488</v>
      </c>
      <c r="K406">
        <v>4967124</v>
      </c>
      <c r="L406" t="s">
        <v>923</v>
      </c>
      <c r="M406" t="str">
        <f>"10471"</f>
        <v>10471</v>
      </c>
      <c r="N406" t="str">
        <f>"10471"</f>
        <v>10471</v>
      </c>
      <c r="O406" t="str">
        <f>""</f>
        <v/>
      </c>
      <c r="P406" t="s">
        <v>664</v>
      </c>
      <c r="Q406" t="str">
        <f>"8435067619346"</f>
        <v>8435067619346</v>
      </c>
      <c r="R406" t="s">
        <v>924</v>
      </c>
      <c r="S406" t="s">
        <v>813</v>
      </c>
      <c r="T406" s="1" t="s">
        <v>925</v>
      </c>
      <c r="U406">
        <v>402</v>
      </c>
      <c r="V406" t="s">
        <v>664</v>
      </c>
      <c r="W406" t="s">
        <v>668</v>
      </c>
      <c r="X406" t="s">
        <v>224</v>
      </c>
    </row>
    <row r="407" spans="1:25">
      <c r="A407">
        <v>13527</v>
      </c>
      <c r="B407" t="s">
        <v>25</v>
      </c>
      <c r="C407" t="str">
        <f t="shared" si="12"/>
        <v>INTEGRA Saloon</v>
      </c>
      <c r="D407" t="str">
        <f t="shared" si="13"/>
        <v>1.5</v>
      </c>
      <c r="E407" t="s">
        <v>26</v>
      </c>
      <c r="F407">
        <v>198501</v>
      </c>
      <c r="G407">
        <v>199012</v>
      </c>
      <c r="H407">
        <v>63</v>
      </c>
      <c r="I407">
        <v>85</v>
      </c>
      <c r="J407">
        <v>1488</v>
      </c>
      <c r="K407">
        <v>3955560</v>
      </c>
      <c r="L407" t="s">
        <v>27</v>
      </c>
      <c r="M407" t="str">
        <f>"11460004"</f>
        <v>11460004</v>
      </c>
      <c r="N407" t="str">
        <f>"1146-0004"</f>
        <v>1146-0004</v>
      </c>
      <c r="O407" t="str">
        <f>""</f>
        <v/>
      </c>
      <c r="P407" t="s">
        <v>926</v>
      </c>
      <c r="Q407" t="str">
        <f>""</f>
        <v/>
      </c>
      <c r="R407" t="s">
        <v>927</v>
      </c>
      <c r="T407" t="s">
        <v>928</v>
      </c>
      <c r="U407">
        <v>405</v>
      </c>
      <c r="V407" t="s">
        <v>926</v>
      </c>
      <c r="W407" t="s">
        <v>929</v>
      </c>
      <c r="X407" t="s">
        <v>224</v>
      </c>
      <c r="Y407" t="s">
        <v>261</v>
      </c>
    </row>
    <row r="408" spans="1:25">
      <c r="A408">
        <v>13527</v>
      </c>
      <c r="B408" t="s">
        <v>25</v>
      </c>
      <c r="C408" t="str">
        <f t="shared" si="12"/>
        <v>INTEGRA Saloon</v>
      </c>
      <c r="D408" t="str">
        <f t="shared" si="13"/>
        <v>1.5</v>
      </c>
      <c r="E408" t="s">
        <v>26</v>
      </c>
      <c r="F408">
        <v>198501</v>
      </c>
      <c r="G408">
        <v>199012</v>
      </c>
      <c r="H408">
        <v>63</v>
      </c>
      <c r="I408">
        <v>85</v>
      </c>
      <c r="J408">
        <v>1488</v>
      </c>
      <c r="K408">
        <v>1781780</v>
      </c>
      <c r="L408" t="s">
        <v>930</v>
      </c>
      <c r="M408" t="str">
        <f>"QSRP10"</f>
        <v>QSRP10</v>
      </c>
      <c r="N408" t="str">
        <f>"QSRP10"</f>
        <v>QSRP10</v>
      </c>
      <c r="O408" t="str">
        <f>""</f>
        <v/>
      </c>
      <c r="P408" t="s">
        <v>931</v>
      </c>
      <c r="Q408" t="str">
        <f>"5050438112627"</f>
        <v>5050438112627</v>
      </c>
      <c r="R408" t="s">
        <v>932</v>
      </c>
      <c r="S408" t="s">
        <v>933</v>
      </c>
      <c r="T408" t="s">
        <v>934</v>
      </c>
      <c r="U408">
        <v>417</v>
      </c>
      <c r="V408" t="s">
        <v>931</v>
      </c>
      <c r="W408" t="s">
        <v>70</v>
      </c>
      <c r="X408" t="s">
        <v>211</v>
      </c>
      <c r="Y408" t="s">
        <v>935</v>
      </c>
    </row>
    <row r="409" spans="1:25">
      <c r="A409">
        <v>13527</v>
      </c>
      <c r="B409" t="s">
        <v>25</v>
      </c>
      <c r="C409" t="str">
        <f t="shared" si="12"/>
        <v>INTEGRA Saloon</v>
      </c>
      <c r="D409" t="str">
        <f t="shared" si="13"/>
        <v>1.5</v>
      </c>
      <c r="E409" t="s">
        <v>26</v>
      </c>
      <c r="F409">
        <v>198501</v>
      </c>
      <c r="G409">
        <v>199012</v>
      </c>
      <c r="H409">
        <v>63</v>
      </c>
      <c r="I409">
        <v>85</v>
      </c>
      <c r="J409">
        <v>1488</v>
      </c>
      <c r="K409">
        <v>1781981</v>
      </c>
      <c r="L409" t="s">
        <v>930</v>
      </c>
      <c r="M409" t="str">
        <f>"QSRP12"</f>
        <v>QSRP12</v>
      </c>
      <c r="N409" t="str">
        <f>"QSRP12"</f>
        <v>QSRP12</v>
      </c>
      <c r="O409" t="str">
        <f>""</f>
        <v/>
      </c>
      <c r="P409" t="s">
        <v>931</v>
      </c>
      <c r="Q409" t="str">
        <f>"5050438112634"</f>
        <v>5050438112634</v>
      </c>
      <c r="S409" t="s">
        <v>933</v>
      </c>
      <c r="U409">
        <v>417</v>
      </c>
      <c r="V409" t="s">
        <v>931</v>
      </c>
      <c r="W409" t="s">
        <v>70</v>
      </c>
      <c r="X409" t="s">
        <v>211</v>
      </c>
      <c r="Y409" t="s">
        <v>935</v>
      </c>
    </row>
    <row r="410" spans="1:25">
      <c r="A410">
        <v>13527</v>
      </c>
      <c r="B410" t="s">
        <v>25</v>
      </c>
      <c r="C410" t="str">
        <f t="shared" si="12"/>
        <v>INTEGRA Saloon</v>
      </c>
      <c r="D410" t="str">
        <f t="shared" si="13"/>
        <v>1.5</v>
      </c>
      <c r="E410" t="s">
        <v>26</v>
      </c>
      <c r="F410">
        <v>198501</v>
      </c>
      <c r="G410">
        <v>199012</v>
      </c>
      <c r="H410">
        <v>63</v>
      </c>
      <c r="I410">
        <v>85</v>
      </c>
      <c r="J410">
        <v>1488</v>
      </c>
      <c r="K410">
        <v>1140787</v>
      </c>
      <c r="L410" t="s">
        <v>659</v>
      </c>
      <c r="M410" t="str">
        <f>"705110"</f>
        <v>705110</v>
      </c>
      <c r="N410" t="str">
        <f>"705.110"</f>
        <v>705.110</v>
      </c>
      <c r="O410" t="str">
        <f>""</f>
        <v/>
      </c>
      <c r="P410" t="s">
        <v>936</v>
      </c>
      <c r="Q410" t="str">
        <f>"4041248103142"</f>
        <v>4041248103142</v>
      </c>
      <c r="R410" t="s">
        <v>937</v>
      </c>
      <c r="T410" t="s">
        <v>938</v>
      </c>
      <c r="U410">
        <v>455</v>
      </c>
      <c r="V410" t="s">
        <v>936</v>
      </c>
      <c r="W410" t="s">
        <v>640</v>
      </c>
      <c r="X410" t="s">
        <v>71</v>
      </c>
      <c r="Y410" t="s">
        <v>939</v>
      </c>
    </row>
    <row r="411" spans="1:25">
      <c r="A411">
        <v>13527</v>
      </c>
      <c r="B411" t="s">
        <v>25</v>
      </c>
      <c r="C411" t="str">
        <f t="shared" si="12"/>
        <v>INTEGRA Saloon</v>
      </c>
      <c r="D411" t="str">
        <f t="shared" si="13"/>
        <v>1.5</v>
      </c>
      <c r="E411" t="s">
        <v>26</v>
      </c>
      <c r="F411">
        <v>198501</v>
      </c>
      <c r="G411">
        <v>199012</v>
      </c>
      <c r="H411">
        <v>63</v>
      </c>
      <c r="I411">
        <v>85</v>
      </c>
      <c r="J411">
        <v>1488</v>
      </c>
      <c r="K411">
        <v>3963920</v>
      </c>
      <c r="L411" t="s">
        <v>27</v>
      </c>
      <c r="M411" t="str">
        <f>"H10310"</f>
        <v>H10310</v>
      </c>
      <c r="N411" t="str">
        <f>"H103-10"</f>
        <v>H103-10</v>
      </c>
      <c r="O411" t="str">
        <f>""</f>
        <v/>
      </c>
      <c r="P411" t="s">
        <v>940</v>
      </c>
      <c r="Q411" t="str">
        <f>""</f>
        <v/>
      </c>
      <c r="R411" t="s">
        <v>941</v>
      </c>
      <c r="S411" t="s">
        <v>942</v>
      </c>
      <c r="T411" s="1" t="s">
        <v>943</v>
      </c>
      <c r="U411">
        <v>458</v>
      </c>
      <c r="V411" t="s">
        <v>940</v>
      </c>
      <c r="W411" t="s">
        <v>944</v>
      </c>
      <c r="X411" t="s">
        <v>162</v>
      </c>
      <c r="Y411" t="s">
        <v>163</v>
      </c>
    </row>
    <row r="412" spans="1:25">
      <c r="A412">
        <v>13527</v>
      </c>
      <c r="B412" t="s">
        <v>25</v>
      </c>
      <c r="C412" t="str">
        <f t="shared" si="12"/>
        <v>INTEGRA Saloon</v>
      </c>
      <c r="D412" t="str">
        <f t="shared" si="13"/>
        <v>1.5</v>
      </c>
      <c r="E412" t="s">
        <v>26</v>
      </c>
      <c r="F412">
        <v>198501</v>
      </c>
      <c r="G412">
        <v>199012</v>
      </c>
      <c r="H412">
        <v>63</v>
      </c>
      <c r="I412">
        <v>85</v>
      </c>
      <c r="J412">
        <v>1488</v>
      </c>
      <c r="K412">
        <v>1955577</v>
      </c>
      <c r="L412" t="s">
        <v>945</v>
      </c>
      <c r="M412" t="str">
        <f>"100750N"</f>
        <v>100750N</v>
      </c>
      <c r="N412" t="str">
        <f>"100750N"</f>
        <v>100750N</v>
      </c>
      <c r="O412" t="str">
        <f>""</f>
        <v/>
      </c>
      <c r="P412" t="s">
        <v>946</v>
      </c>
      <c r="Q412" t="str">
        <f>"4044455177654"</f>
        <v>4044455177654</v>
      </c>
      <c r="R412" t="s">
        <v>947</v>
      </c>
      <c r="T412" s="1" t="s">
        <v>948</v>
      </c>
      <c r="U412">
        <v>470</v>
      </c>
      <c r="V412" t="s">
        <v>946</v>
      </c>
      <c r="W412" t="s">
        <v>949</v>
      </c>
      <c r="X412" t="s">
        <v>626</v>
      </c>
      <c r="Y412" t="s">
        <v>950</v>
      </c>
    </row>
    <row r="413" spans="1:25">
      <c r="A413">
        <v>13527</v>
      </c>
      <c r="B413" t="s">
        <v>25</v>
      </c>
      <c r="C413" t="str">
        <f t="shared" si="12"/>
        <v>INTEGRA Saloon</v>
      </c>
      <c r="D413" t="str">
        <f t="shared" si="13"/>
        <v>1.5</v>
      </c>
      <c r="E413" t="s">
        <v>26</v>
      </c>
      <c r="F413">
        <v>198501</v>
      </c>
      <c r="G413">
        <v>199012</v>
      </c>
      <c r="H413">
        <v>63</v>
      </c>
      <c r="I413">
        <v>85</v>
      </c>
      <c r="J413">
        <v>1488</v>
      </c>
      <c r="K413">
        <v>3016156</v>
      </c>
      <c r="L413" t="s">
        <v>951</v>
      </c>
      <c r="M413" t="str">
        <f>"HD2038"</f>
        <v>HD2038</v>
      </c>
      <c r="N413" t="str">
        <f>"HD2038"</f>
        <v>HD2038</v>
      </c>
      <c r="O413" t="str">
        <f>""</f>
        <v/>
      </c>
      <c r="P413" t="s">
        <v>946</v>
      </c>
      <c r="Q413" t="str">
        <f>"4045385022663"</f>
        <v>4045385022663</v>
      </c>
      <c r="R413" t="s">
        <v>952</v>
      </c>
      <c r="S413" t="s">
        <v>953</v>
      </c>
      <c r="T413" s="1" t="s">
        <v>954</v>
      </c>
      <c r="U413">
        <v>470</v>
      </c>
      <c r="V413" t="s">
        <v>946</v>
      </c>
      <c r="W413" t="s">
        <v>949</v>
      </c>
      <c r="X413" t="s">
        <v>626</v>
      </c>
      <c r="Y413" t="s">
        <v>950</v>
      </c>
    </row>
    <row r="414" spans="1:25">
      <c r="A414">
        <v>13527</v>
      </c>
      <c r="B414" t="s">
        <v>25</v>
      </c>
      <c r="C414" t="str">
        <f t="shared" si="12"/>
        <v>INTEGRA Saloon</v>
      </c>
      <c r="D414" t="str">
        <f t="shared" si="13"/>
        <v>1.5</v>
      </c>
      <c r="E414" t="s">
        <v>26</v>
      </c>
      <c r="F414">
        <v>198501</v>
      </c>
      <c r="G414">
        <v>199012</v>
      </c>
      <c r="H414">
        <v>63</v>
      </c>
      <c r="I414">
        <v>85</v>
      </c>
      <c r="J414">
        <v>1488</v>
      </c>
      <c r="K414">
        <v>3016157</v>
      </c>
      <c r="L414" t="s">
        <v>951</v>
      </c>
      <c r="M414" t="str">
        <f>"HD2039"</f>
        <v>HD2039</v>
      </c>
      <c r="N414" t="str">
        <f>"HD2039"</f>
        <v>HD2039</v>
      </c>
      <c r="O414" t="str">
        <f>""</f>
        <v/>
      </c>
      <c r="P414" t="s">
        <v>946</v>
      </c>
      <c r="Q414" t="str">
        <f>"4045385022670"</f>
        <v>4045385022670</v>
      </c>
      <c r="R414" t="s">
        <v>952</v>
      </c>
      <c r="S414" t="s">
        <v>955</v>
      </c>
      <c r="T414" s="1" t="s">
        <v>956</v>
      </c>
      <c r="U414">
        <v>470</v>
      </c>
      <c r="V414" t="s">
        <v>946</v>
      </c>
      <c r="W414" t="s">
        <v>949</v>
      </c>
      <c r="X414" t="s">
        <v>626</v>
      </c>
      <c r="Y414" t="s">
        <v>950</v>
      </c>
    </row>
    <row r="415" spans="1:25">
      <c r="A415">
        <v>13527</v>
      </c>
      <c r="B415" t="s">
        <v>25</v>
      </c>
      <c r="C415" t="str">
        <f t="shared" si="12"/>
        <v>INTEGRA Saloon</v>
      </c>
      <c r="D415" t="str">
        <f t="shared" si="13"/>
        <v>1.5</v>
      </c>
      <c r="E415" t="s">
        <v>26</v>
      </c>
      <c r="F415">
        <v>198501</v>
      </c>
      <c r="G415">
        <v>199012</v>
      </c>
      <c r="H415">
        <v>63</v>
      </c>
      <c r="I415">
        <v>85</v>
      </c>
      <c r="J415">
        <v>1488</v>
      </c>
      <c r="K415">
        <v>3496594</v>
      </c>
      <c r="L415" t="s">
        <v>957</v>
      </c>
      <c r="M415" t="str">
        <f>"HD2038"</f>
        <v>HD2038</v>
      </c>
      <c r="N415" t="str">
        <f>"HD2038"</f>
        <v>HD2038</v>
      </c>
      <c r="O415" t="str">
        <f>""</f>
        <v/>
      </c>
      <c r="P415" t="s">
        <v>946</v>
      </c>
      <c r="Q415" t="str">
        <f>"4045385022663"</f>
        <v>4045385022663</v>
      </c>
      <c r="R415" t="s">
        <v>952</v>
      </c>
      <c r="S415" t="s">
        <v>953</v>
      </c>
      <c r="T415" s="1" t="s">
        <v>954</v>
      </c>
      <c r="U415">
        <v>470</v>
      </c>
      <c r="V415" t="s">
        <v>946</v>
      </c>
      <c r="W415" t="s">
        <v>949</v>
      </c>
      <c r="X415" t="s">
        <v>626</v>
      </c>
      <c r="Y415" t="s">
        <v>950</v>
      </c>
    </row>
    <row r="416" spans="1:25">
      <c r="A416">
        <v>13527</v>
      </c>
      <c r="B416" t="s">
        <v>25</v>
      </c>
      <c r="C416" t="str">
        <f t="shared" si="12"/>
        <v>INTEGRA Saloon</v>
      </c>
      <c r="D416" t="str">
        <f t="shared" si="13"/>
        <v>1.5</v>
      </c>
      <c r="E416" t="s">
        <v>26</v>
      </c>
      <c r="F416">
        <v>198501</v>
      </c>
      <c r="G416">
        <v>199012</v>
      </c>
      <c r="H416">
        <v>63</v>
      </c>
      <c r="I416">
        <v>85</v>
      </c>
      <c r="J416">
        <v>1488</v>
      </c>
      <c r="K416">
        <v>3496595</v>
      </c>
      <c r="L416" t="s">
        <v>957</v>
      </c>
      <c r="M416" t="str">
        <f>"HD2039"</f>
        <v>HD2039</v>
      </c>
      <c r="N416" t="str">
        <f>"HD2039"</f>
        <v>HD2039</v>
      </c>
      <c r="O416" t="str">
        <f>""</f>
        <v/>
      </c>
      <c r="P416" t="s">
        <v>946</v>
      </c>
      <c r="Q416" t="str">
        <f>"4045385022670"</f>
        <v>4045385022670</v>
      </c>
      <c r="R416" t="s">
        <v>952</v>
      </c>
      <c r="S416" t="s">
        <v>955</v>
      </c>
      <c r="T416" s="1" t="s">
        <v>956</v>
      </c>
      <c r="U416">
        <v>470</v>
      </c>
      <c r="V416" t="s">
        <v>946</v>
      </c>
      <c r="W416" t="s">
        <v>949</v>
      </c>
      <c r="X416" t="s">
        <v>626</v>
      </c>
      <c r="Y416" t="s">
        <v>950</v>
      </c>
    </row>
    <row r="417" spans="1:25">
      <c r="A417">
        <v>13527</v>
      </c>
      <c r="B417" t="s">
        <v>25</v>
      </c>
      <c r="C417" t="str">
        <f t="shared" si="12"/>
        <v>INTEGRA Saloon</v>
      </c>
      <c r="D417" t="str">
        <f t="shared" si="13"/>
        <v>1.5</v>
      </c>
      <c r="E417" t="s">
        <v>26</v>
      </c>
      <c r="F417">
        <v>198501</v>
      </c>
      <c r="G417">
        <v>199012</v>
      </c>
      <c r="H417">
        <v>63</v>
      </c>
      <c r="I417">
        <v>85</v>
      </c>
      <c r="J417">
        <v>1488</v>
      </c>
      <c r="K417">
        <v>642356</v>
      </c>
      <c r="L417" t="s">
        <v>958</v>
      </c>
      <c r="M417" t="str">
        <f>"DW4007TT"</f>
        <v>DW4007TT</v>
      </c>
      <c r="N417" t="str">
        <f>"DW4007TT"</f>
        <v>DW4007TT</v>
      </c>
      <c r="O417" t="str">
        <f>""</f>
        <v/>
      </c>
      <c r="P417" t="s">
        <v>959</v>
      </c>
      <c r="Q417" t="str">
        <f>""</f>
        <v/>
      </c>
      <c r="R417" t="s">
        <v>960</v>
      </c>
      <c r="T417" t="s">
        <v>961</v>
      </c>
      <c r="U417">
        <v>475</v>
      </c>
      <c r="V417" t="s">
        <v>959</v>
      </c>
      <c r="W417" t="s">
        <v>962</v>
      </c>
      <c r="X417" t="s">
        <v>626</v>
      </c>
      <c r="Y417" t="s">
        <v>963</v>
      </c>
    </row>
    <row r="418" spans="1:25">
      <c r="A418">
        <v>13527</v>
      </c>
      <c r="B418" t="s">
        <v>25</v>
      </c>
      <c r="C418" t="str">
        <f t="shared" si="12"/>
        <v>INTEGRA Saloon</v>
      </c>
      <c r="D418" t="str">
        <f t="shared" si="13"/>
        <v>1.5</v>
      </c>
      <c r="E418" t="s">
        <v>26</v>
      </c>
      <c r="F418">
        <v>198501</v>
      </c>
      <c r="G418">
        <v>199012</v>
      </c>
      <c r="H418">
        <v>63</v>
      </c>
      <c r="I418">
        <v>85</v>
      </c>
      <c r="J418">
        <v>1488</v>
      </c>
      <c r="K418">
        <v>1537306</v>
      </c>
      <c r="L418" t="s">
        <v>173</v>
      </c>
      <c r="M418" t="str">
        <f>"VFII271"</f>
        <v>VFII271</v>
      </c>
      <c r="N418" t="str">
        <f>"VFII 271"</f>
        <v>VFII 271</v>
      </c>
      <c r="O418" t="str">
        <f>""</f>
        <v/>
      </c>
      <c r="P418" t="s">
        <v>959</v>
      </c>
      <c r="Q418" t="str">
        <f>"5412571015669"</f>
        <v>5412571015669</v>
      </c>
      <c r="S418" t="s">
        <v>964</v>
      </c>
      <c r="T418" t="s">
        <v>965</v>
      </c>
      <c r="U418">
        <v>475</v>
      </c>
      <c r="V418" t="s">
        <v>959</v>
      </c>
      <c r="W418" t="s">
        <v>962</v>
      </c>
      <c r="X418" t="s">
        <v>626</v>
      </c>
      <c r="Y418" t="s">
        <v>963</v>
      </c>
    </row>
    <row r="419" spans="1:25">
      <c r="A419">
        <v>13527</v>
      </c>
      <c r="B419" t="s">
        <v>25</v>
      </c>
      <c r="C419" t="str">
        <f t="shared" si="12"/>
        <v>INTEGRA Saloon</v>
      </c>
      <c r="D419" t="str">
        <f t="shared" si="13"/>
        <v>1.5</v>
      </c>
      <c r="E419" t="s">
        <v>26</v>
      </c>
      <c r="F419">
        <v>198501</v>
      </c>
      <c r="G419">
        <v>199012</v>
      </c>
      <c r="H419">
        <v>63</v>
      </c>
      <c r="I419">
        <v>85</v>
      </c>
      <c r="J419">
        <v>1488</v>
      </c>
      <c r="K419">
        <v>3429567</v>
      </c>
      <c r="L419" t="s">
        <v>966</v>
      </c>
      <c r="M419" t="str">
        <f>"227208"</f>
        <v>227208</v>
      </c>
      <c r="N419" t="str">
        <f>"227208"</f>
        <v>227208</v>
      </c>
      <c r="O419" t="str">
        <f>""</f>
        <v/>
      </c>
      <c r="P419" t="s">
        <v>959</v>
      </c>
      <c r="Q419" t="str">
        <f>"8034548440617"</f>
        <v>8034548440617</v>
      </c>
      <c r="R419" t="s">
        <v>967</v>
      </c>
      <c r="T419" t="s">
        <v>968</v>
      </c>
      <c r="U419">
        <v>475</v>
      </c>
      <c r="V419" t="s">
        <v>959</v>
      </c>
      <c r="W419" t="s">
        <v>962</v>
      </c>
      <c r="X419" t="s">
        <v>626</v>
      </c>
      <c r="Y419" t="s">
        <v>963</v>
      </c>
    </row>
    <row r="420" spans="1:25">
      <c r="A420">
        <v>13527</v>
      </c>
      <c r="B420" t="s">
        <v>25</v>
      </c>
      <c r="C420" t="str">
        <f t="shared" si="12"/>
        <v>INTEGRA Saloon</v>
      </c>
      <c r="D420" t="str">
        <f t="shared" si="13"/>
        <v>1.5</v>
      </c>
      <c r="E420" t="s">
        <v>26</v>
      </c>
      <c r="F420">
        <v>198501</v>
      </c>
      <c r="G420">
        <v>199012</v>
      </c>
      <c r="H420">
        <v>63</v>
      </c>
      <c r="I420">
        <v>85</v>
      </c>
      <c r="J420">
        <v>1488</v>
      </c>
      <c r="K420">
        <v>116577</v>
      </c>
      <c r="L420" t="s">
        <v>199</v>
      </c>
      <c r="M420" t="str">
        <f>"954901"</f>
        <v>954901</v>
      </c>
      <c r="N420" t="str">
        <f>"954901"</f>
        <v>954901</v>
      </c>
      <c r="O420" t="str">
        <f>""</f>
        <v/>
      </c>
      <c r="P420" t="s">
        <v>969</v>
      </c>
      <c r="Q420" t="str">
        <f>"8717012007089"</f>
        <v>8717012007089</v>
      </c>
      <c r="R420" t="s">
        <v>970</v>
      </c>
      <c r="T420" t="s">
        <v>971</v>
      </c>
      <c r="U420">
        <v>479</v>
      </c>
      <c r="V420" t="s">
        <v>969</v>
      </c>
      <c r="W420" t="s">
        <v>969</v>
      </c>
      <c r="X420" t="s">
        <v>204</v>
      </c>
    </row>
    <row r="421" spans="1:25">
      <c r="A421">
        <v>13527</v>
      </c>
      <c r="B421" t="s">
        <v>25</v>
      </c>
      <c r="C421" t="str">
        <f t="shared" si="12"/>
        <v>INTEGRA Saloon</v>
      </c>
      <c r="D421" t="str">
        <f t="shared" si="13"/>
        <v>1.5</v>
      </c>
      <c r="E421" t="s">
        <v>26</v>
      </c>
      <c r="F421">
        <v>198501</v>
      </c>
      <c r="G421">
        <v>199012</v>
      </c>
      <c r="H421">
        <v>63</v>
      </c>
      <c r="I421">
        <v>85</v>
      </c>
      <c r="J421">
        <v>1488</v>
      </c>
      <c r="K421">
        <v>3027936</v>
      </c>
      <c r="L421" t="s">
        <v>33</v>
      </c>
      <c r="M421" t="str">
        <f>"J2004008"</f>
        <v>J2004008</v>
      </c>
      <c r="N421" t="str">
        <f>"J2004008"</f>
        <v>J2004008</v>
      </c>
      <c r="O421" t="str">
        <f>""</f>
        <v/>
      </c>
      <c r="P421" t="s">
        <v>969</v>
      </c>
      <c r="Q421" t="str">
        <f>"8711768041526"</f>
        <v>8711768041526</v>
      </c>
      <c r="R421" t="s">
        <v>972</v>
      </c>
      <c r="T421" t="s">
        <v>973</v>
      </c>
      <c r="U421">
        <v>479</v>
      </c>
      <c r="V421" t="s">
        <v>969</v>
      </c>
      <c r="W421" t="s">
        <v>969</v>
      </c>
      <c r="X421" t="s">
        <v>204</v>
      </c>
    </row>
    <row r="422" spans="1:25">
      <c r="A422">
        <v>13527</v>
      </c>
      <c r="B422" t="s">
        <v>25</v>
      </c>
      <c r="C422" t="str">
        <f t="shared" si="12"/>
        <v>INTEGRA Saloon</v>
      </c>
      <c r="D422" t="str">
        <f t="shared" si="13"/>
        <v>1.5</v>
      </c>
      <c r="E422" t="s">
        <v>26</v>
      </c>
      <c r="F422">
        <v>198501</v>
      </c>
      <c r="G422">
        <v>199012</v>
      </c>
      <c r="H422">
        <v>63</v>
      </c>
      <c r="I422">
        <v>85</v>
      </c>
      <c r="J422">
        <v>1488</v>
      </c>
      <c r="K422">
        <v>3963983</v>
      </c>
      <c r="L422" t="s">
        <v>27</v>
      </c>
      <c r="M422" t="str">
        <f>"H13510"</f>
        <v>H13510</v>
      </c>
      <c r="N422" t="str">
        <f>"H135-10"</f>
        <v>H135-10</v>
      </c>
      <c r="O422" t="str">
        <f>""</f>
        <v/>
      </c>
      <c r="P422" t="s">
        <v>969</v>
      </c>
      <c r="Q422" t="str">
        <f>"8718993210819"</f>
        <v>8718993210819</v>
      </c>
      <c r="R422" t="s">
        <v>974</v>
      </c>
      <c r="T422" s="1" t="s">
        <v>975</v>
      </c>
      <c r="U422">
        <v>479</v>
      </c>
      <c r="V422" t="s">
        <v>969</v>
      </c>
      <c r="W422" t="s">
        <v>969</v>
      </c>
      <c r="X422" t="s">
        <v>204</v>
      </c>
    </row>
    <row r="423" spans="1:25">
      <c r="A423">
        <v>13527</v>
      </c>
      <c r="B423" t="s">
        <v>25</v>
      </c>
      <c r="C423" t="str">
        <f t="shared" si="12"/>
        <v>INTEGRA Saloon</v>
      </c>
      <c r="D423" t="str">
        <f t="shared" si="13"/>
        <v>1.5</v>
      </c>
      <c r="E423" t="s">
        <v>26</v>
      </c>
      <c r="F423">
        <v>198501</v>
      </c>
      <c r="G423">
        <v>199012</v>
      </c>
      <c r="H423">
        <v>63</v>
      </c>
      <c r="I423">
        <v>85</v>
      </c>
      <c r="J423">
        <v>1488</v>
      </c>
      <c r="K423">
        <v>1534983</v>
      </c>
      <c r="L423" t="s">
        <v>173</v>
      </c>
      <c r="M423" t="str">
        <f>"RC122"</f>
        <v>RC122</v>
      </c>
      <c r="N423" t="str">
        <f>"RC122"</f>
        <v>RC122</v>
      </c>
      <c r="O423" t="str">
        <f>""</f>
        <v/>
      </c>
      <c r="P423" t="s">
        <v>976</v>
      </c>
      <c r="Q423" t="str">
        <f>"5414465188886"</f>
        <v>5414465188886</v>
      </c>
      <c r="R423" t="s">
        <v>977</v>
      </c>
      <c r="T423" s="1" t="s">
        <v>978</v>
      </c>
      <c r="U423">
        <v>548</v>
      </c>
      <c r="V423" t="s">
        <v>976</v>
      </c>
      <c r="W423" t="s">
        <v>979</v>
      </c>
      <c r="X423" t="s">
        <v>626</v>
      </c>
      <c r="Y423" t="s">
        <v>976</v>
      </c>
    </row>
    <row r="424" spans="1:25">
      <c r="A424">
        <v>13527</v>
      </c>
      <c r="B424" t="s">
        <v>25</v>
      </c>
      <c r="C424" t="str">
        <f t="shared" si="12"/>
        <v>INTEGRA Saloon</v>
      </c>
      <c r="D424" t="str">
        <f t="shared" si="13"/>
        <v>1.5</v>
      </c>
      <c r="E424" t="s">
        <v>26</v>
      </c>
      <c r="F424">
        <v>198501</v>
      </c>
      <c r="G424">
        <v>199012</v>
      </c>
      <c r="H424">
        <v>63</v>
      </c>
      <c r="I424">
        <v>85</v>
      </c>
      <c r="J424">
        <v>1488</v>
      </c>
      <c r="K424">
        <v>3027660</v>
      </c>
      <c r="L424" t="s">
        <v>33</v>
      </c>
      <c r="M424" t="str">
        <f>"J1545000"</f>
        <v>J1545000</v>
      </c>
      <c r="N424" t="str">
        <f>"J1545000"</f>
        <v>J1545000</v>
      </c>
      <c r="O424" t="str">
        <f>""</f>
        <v/>
      </c>
      <c r="P424" t="s">
        <v>980</v>
      </c>
      <c r="Q424" t="str">
        <f>"8711768039523"</f>
        <v>8711768039523</v>
      </c>
      <c r="R424" t="s">
        <v>981</v>
      </c>
      <c r="T424" s="1" t="s">
        <v>982</v>
      </c>
      <c r="U424">
        <v>549</v>
      </c>
      <c r="V424" t="s">
        <v>980</v>
      </c>
      <c r="W424" t="s">
        <v>983</v>
      </c>
      <c r="X424" t="s">
        <v>626</v>
      </c>
      <c r="Y424" t="s">
        <v>976</v>
      </c>
    </row>
    <row r="425" spans="1:25">
      <c r="A425">
        <v>13527</v>
      </c>
      <c r="B425" t="s">
        <v>25</v>
      </c>
      <c r="C425" t="str">
        <f t="shared" si="12"/>
        <v>INTEGRA Saloon</v>
      </c>
      <c r="D425" t="str">
        <f t="shared" si="13"/>
        <v>1.5</v>
      </c>
      <c r="E425" t="s">
        <v>26</v>
      </c>
      <c r="F425">
        <v>198501</v>
      </c>
      <c r="G425">
        <v>199012</v>
      </c>
      <c r="H425">
        <v>63</v>
      </c>
      <c r="I425">
        <v>85</v>
      </c>
      <c r="J425">
        <v>1488</v>
      </c>
      <c r="K425">
        <v>587970</v>
      </c>
      <c r="L425" t="s">
        <v>636</v>
      </c>
      <c r="M425" t="str">
        <f>"NJ312"</f>
        <v>NJ312</v>
      </c>
      <c r="N425" t="str">
        <f>"NJ312"</f>
        <v>NJ312</v>
      </c>
      <c r="O425" t="str">
        <f>""</f>
        <v/>
      </c>
      <c r="P425" t="s">
        <v>984</v>
      </c>
      <c r="Q425" t="str">
        <f>""</f>
        <v/>
      </c>
      <c r="R425" t="s">
        <v>985</v>
      </c>
      <c r="S425" t="s">
        <v>102</v>
      </c>
      <c r="T425" s="1" t="s">
        <v>986</v>
      </c>
      <c r="U425">
        <v>572</v>
      </c>
      <c r="V425" t="s">
        <v>984</v>
      </c>
      <c r="W425" t="s">
        <v>987</v>
      </c>
      <c r="X425" t="s">
        <v>988</v>
      </c>
      <c r="Y425" t="s">
        <v>989</v>
      </c>
    </row>
    <row r="426" spans="1:25">
      <c r="A426">
        <v>13527</v>
      </c>
      <c r="B426" t="s">
        <v>25</v>
      </c>
      <c r="C426" t="str">
        <f t="shared" si="12"/>
        <v>INTEGRA Saloon</v>
      </c>
      <c r="D426" t="str">
        <f t="shared" si="13"/>
        <v>1.5</v>
      </c>
      <c r="E426" t="s">
        <v>26</v>
      </c>
      <c r="F426">
        <v>198501</v>
      </c>
      <c r="G426">
        <v>199012</v>
      </c>
      <c r="H426">
        <v>63</v>
      </c>
      <c r="I426">
        <v>85</v>
      </c>
      <c r="J426">
        <v>1488</v>
      </c>
      <c r="K426">
        <v>308991</v>
      </c>
      <c r="L426" t="s">
        <v>990</v>
      </c>
      <c r="M426" t="str">
        <f>"7143574STD"</f>
        <v>7143574STD</v>
      </c>
      <c r="N426" t="str">
        <f>"71-4357/4 STD"</f>
        <v>71-4357/4 STD</v>
      </c>
      <c r="O426" t="str">
        <f>""</f>
        <v/>
      </c>
      <c r="P426" t="s">
        <v>991</v>
      </c>
      <c r="Q426" t="str">
        <f>"4044197428229"</f>
        <v>4044197428229</v>
      </c>
      <c r="R426" t="s">
        <v>992</v>
      </c>
      <c r="S426" t="s">
        <v>102</v>
      </c>
      <c r="T426" t="s">
        <v>993</v>
      </c>
      <c r="U426">
        <v>582</v>
      </c>
      <c r="V426" t="s">
        <v>991</v>
      </c>
      <c r="W426" t="s">
        <v>203</v>
      </c>
      <c r="X426" t="s">
        <v>988</v>
      </c>
      <c r="Y426" t="s">
        <v>994</v>
      </c>
    </row>
    <row r="427" spans="1:25">
      <c r="A427">
        <v>13527</v>
      </c>
      <c r="B427" t="s">
        <v>25</v>
      </c>
      <c r="C427" t="str">
        <f t="shared" si="12"/>
        <v>INTEGRA Saloon</v>
      </c>
      <c r="D427" t="str">
        <f t="shared" si="13"/>
        <v>1.5</v>
      </c>
      <c r="E427" t="s">
        <v>26</v>
      </c>
      <c r="F427">
        <v>198501</v>
      </c>
      <c r="G427">
        <v>199012</v>
      </c>
      <c r="H427">
        <v>63</v>
      </c>
      <c r="I427">
        <v>85</v>
      </c>
      <c r="J427">
        <v>1488</v>
      </c>
      <c r="K427">
        <v>4828035</v>
      </c>
      <c r="L427" t="s">
        <v>995</v>
      </c>
      <c r="M427" t="str">
        <f>"WG1185700"</f>
        <v>WG1185700</v>
      </c>
      <c r="N427" t="str">
        <f>"WG1185700"</f>
        <v>WG1185700</v>
      </c>
      <c r="O427" t="str">
        <f>""</f>
        <v/>
      </c>
      <c r="P427" t="s">
        <v>991</v>
      </c>
      <c r="Q427" t="str">
        <f>"4044197428229"</f>
        <v>4044197428229</v>
      </c>
      <c r="R427" t="s">
        <v>992</v>
      </c>
      <c r="S427" t="s">
        <v>102</v>
      </c>
      <c r="T427" t="s">
        <v>996</v>
      </c>
      <c r="U427">
        <v>582</v>
      </c>
      <c r="V427" t="s">
        <v>991</v>
      </c>
      <c r="W427" t="s">
        <v>203</v>
      </c>
      <c r="X427" t="s">
        <v>988</v>
      </c>
      <c r="Y427" t="s">
        <v>994</v>
      </c>
    </row>
    <row r="428" spans="1:25">
      <c r="A428">
        <v>13527</v>
      </c>
      <c r="B428" t="s">
        <v>25</v>
      </c>
      <c r="C428" t="str">
        <f t="shared" si="12"/>
        <v>INTEGRA Saloon</v>
      </c>
      <c r="D428" t="str">
        <f t="shared" si="13"/>
        <v>1.5</v>
      </c>
      <c r="E428" t="s">
        <v>26</v>
      </c>
      <c r="F428">
        <v>198501</v>
      </c>
      <c r="G428">
        <v>199012</v>
      </c>
      <c r="H428">
        <v>63</v>
      </c>
      <c r="I428">
        <v>85</v>
      </c>
      <c r="J428">
        <v>1488</v>
      </c>
      <c r="K428">
        <v>4666100</v>
      </c>
      <c r="L428" t="s">
        <v>997</v>
      </c>
      <c r="M428" t="str">
        <f>"PHU3050"</f>
        <v>PHU3050</v>
      </c>
      <c r="N428" t="str">
        <f>"PHU3050"</f>
        <v>PHU3050</v>
      </c>
      <c r="O428" t="str">
        <f>""</f>
        <v/>
      </c>
      <c r="P428" t="s">
        <v>998</v>
      </c>
      <c r="Q428" t="str">
        <f>""</f>
        <v/>
      </c>
      <c r="R428" t="s">
        <v>999</v>
      </c>
      <c r="T428" t="s">
        <v>1000</v>
      </c>
      <c r="U428">
        <v>653</v>
      </c>
      <c r="V428" t="s">
        <v>998</v>
      </c>
      <c r="W428" t="s">
        <v>998</v>
      </c>
      <c r="X428" t="s">
        <v>497</v>
      </c>
    </row>
    <row r="429" spans="1:25">
      <c r="A429">
        <v>13527</v>
      </c>
      <c r="B429" t="s">
        <v>25</v>
      </c>
      <c r="C429" t="str">
        <f t="shared" si="12"/>
        <v>INTEGRA Saloon</v>
      </c>
      <c r="D429" t="str">
        <f t="shared" si="13"/>
        <v>1.5</v>
      </c>
      <c r="E429" t="s">
        <v>26</v>
      </c>
      <c r="F429">
        <v>198501</v>
      </c>
      <c r="G429">
        <v>199012</v>
      </c>
      <c r="H429">
        <v>63</v>
      </c>
      <c r="I429">
        <v>85</v>
      </c>
      <c r="J429">
        <v>1488</v>
      </c>
      <c r="K429">
        <v>2382630</v>
      </c>
      <c r="L429" t="s">
        <v>144</v>
      </c>
      <c r="M429" t="str">
        <f>"26506"</f>
        <v>26506</v>
      </c>
      <c r="N429" t="str">
        <f>"26506"</f>
        <v>26506</v>
      </c>
      <c r="O429" t="str">
        <f>""</f>
        <v/>
      </c>
      <c r="P429" t="s">
        <v>1001</v>
      </c>
      <c r="Q429" t="str">
        <f>"4043605102089"</f>
        <v>4043605102089</v>
      </c>
      <c r="R429" t="s">
        <v>1002</v>
      </c>
      <c r="T429" s="1" t="s">
        <v>1003</v>
      </c>
      <c r="U429">
        <v>654</v>
      </c>
      <c r="V429" t="s">
        <v>1001</v>
      </c>
      <c r="W429" t="s">
        <v>1004</v>
      </c>
      <c r="X429" t="s">
        <v>497</v>
      </c>
      <c r="Y429" t="s">
        <v>998</v>
      </c>
    </row>
    <row r="430" spans="1:25">
      <c r="A430">
        <v>13527</v>
      </c>
      <c r="B430" t="s">
        <v>25</v>
      </c>
      <c r="C430" t="str">
        <f t="shared" si="12"/>
        <v>INTEGRA Saloon</v>
      </c>
      <c r="D430" t="str">
        <f t="shared" si="13"/>
        <v>1.5</v>
      </c>
      <c r="E430" t="s">
        <v>26</v>
      </c>
      <c r="F430">
        <v>198501</v>
      </c>
      <c r="G430">
        <v>199012</v>
      </c>
      <c r="H430">
        <v>63</v>
      </c>
      <c r="I430">
        <v>85</v>
      </c>
      <c r="J430">
        <v>1488</v>
      </c>
      <c r="K430">
        <v>2382638</v>
      </c>
      <c r="L430" t="s">
        <v>144</v>
      </c>
      <c r="M430" t="str">
        <f>"26513"</f>
        <v>26513</v>
      </c>
      <c r="N430" t="str">
        <f>"26513"</f>
        <v>26513</v>
      </c>
      <c r="O430" t="str">
        <f>""</f>
        <v/>
      </c>
      <c r="P430" t="s">
        <v>1001</v>
      </c>
      <c r="Q430" t="str">
        <f>"4043605113023"</f>
        <v>4043605113023</v>
      </c>
      <c r="R430" t="s">
        <v>1005</v>
      </c>
      <c r="S430" t="s">
        <v>1006</v>
      </c>
      <c r="T430" s="1" t="s">
        <v>1007</v>
      </c>
      <c r="U430">
        <v>654</v>
      </c>
      <c r="V430" t="s">
        <v>1001</v>
      </c>
      <c r="W430" t="s">
        <v>1004</v>
      </c>
      <c r="X430" t="s">
        <v>497</v>
      </c>
      <c r="Y430" t="s">
        <v>998</v>
      </c>
    </row>
    <row r="431" spans="1:25">
      <c r="A431">
        <v>13527</v>
      </c>
      <c r="B431" t="s">
        <v>25</v>
      </c>
      <c r="C431" t="str">
        <f t="shared" si="12"/>
        <v>INTEGRA Saloon</v>
      </c>
      <c r="D431" t="str">
        <f t="shared" si="13"/>
        <v>1.5</v>
      </c>
      <c r="E431" t="s">
        <v>26</v>
      </c>
      <c r="F431">
        <v>198501</v>
      </c>
      <c r="G431">
        <v>199012</v>
      </c>
      <c r="H431">
        <v>63</v>
      </c>
      <c r="I431">
        <v>85</v>
      </c>
      <c r="J431">
        <v>1488</v>
      </c>
      <c r="K431">
        <v>3031614</v>
      </c>
      <c r="L431" t="s">
        <v>33</v>
      </c>
      <c r="M431" t="str">
        <f>"J4704012"</f>
        <v>J4704012</v>
      </c>
      <c r="N431" t="str">
        <f>"J4704012"</f>
        <v>J4704012</v>
      </c>
      <c r="O431" t="str">
        <f>""</f>
        <v/>
      </c>
      <c r="P431" t="s">
        <v>1001</v>
      </c>
      <c r="Q431" t="str">
        <f>"8711768061760"</f>
        <v>8711768061760</v>
      </c>
      <c r="R431" t="s">
        <v>1008</v>
      </c>
      <c r="S431" t="s">
        <v>392</v>
      </c>
      <c r="T431" s="1" t="s">
        <v>1009</v>
      </c>
      <c r="U431">
        <v>654</v>
      </c>
      <c r="V431" t="s">
        <v>1001</v>
      </c>
      <c r="W431" t="s">
        <v>1004</v>
      </c>
      <c r="X431" t="s">
        <v>497</v>
      </c>
      <c r="Y431" t="s">
        <v>998</v>
      </c>
    </row>
    <row r="432" spans="1:25">
      <c r="A432">
        <v>13527</v>
      </c>
      <c r="B432" t="s">
        <v>25</v>
      </c>
      <c r="C432" t="str">
        <f t="shared" si="12"/>
        <v>INTEGRA Saloon</v>
      </c>
      <c r="D432" t="str">
        <f t="shared" si="13"/>
        <v>1.5</v>
      </c>
      <c r="E432" t="s">
        <v>26</v>
      </c>
      <c r="F432">
        <v>198501</v>
      </c>
      <c r="G432">
        <v>199012</v>
      </c>
      <c r="H432">
        <v>63</v>
      </c>
      <c r="I432">
        <v>85</v>
      </c>
      <c r="J432">
        <v>1488</v>
      </c>
      <c r="K432">
        <v>3031804</v>
      </c>
      <c r="L432" t="s">
        <v>33</v>
      </c>
      <c r="M432" t="str">
        <f>"J4714007"</f>
        <v>J4714007</v>
      </c>
      <c r="N432" t="str">
        <f>"J4714007"</f>
        <v>J4714007</v>
      </c>
      <c r="O432" t="str">
        <f>""</f>
        <v/>
      </c>
      <c r="P432" t="s">
        <v>1001</v>
      </c>
      <c r="Q432" t="str">
        <f>"8711768062842"</f>
        <v>8711768062842</v>
      </c>
      <c r="R432" t="s">
        <v>1010</v>
      </c>
      <c r="S432" t="s">
        <v>1011</v>
      </c>
      <c r="T432" s="1" t="s">
        <v>1012</v>
      </c>
      <c r="U432">
        <v>654</v>
      </c>
      <c r="V432" t="s">
        <v>1001</v>
      </c>
      <c r="W432" t="s">
        <v>1004</v>
      </c>
      <c r="X432" t="s">
        <v>497</v>
      </c>
      <c r="Y432" t="s">
        <v>998</v>
      </c>
    </row>
    <row r="433" spans="1:25">
      <c r="A433">
        <v>13527</v>
      </c>
      <c r="B433" t="s">
        <v>25</v>
      </c>
      <c r="C433" t="str">
        <f t="shared" si="12"/>
        <v>INTEGRA Saloon</v>
      </c>
      <c r="D433" t="str">
        <f t="shared" si="13"/>
        <v>1.5</v>
      </c>
      <c r="E433" t="s">
        <v>26</v>
      </c>
      <c r="F433">
        <v>198501</v>
      </c>
      <c r="G433">
        <v>199012</v>
      </c>
      <c r="H433">
        <v>63</v>
      </c>
      <c r="I433">
        <v>85</v>
      </c>
      <c r="J433">
        <v>1488</v>
      </c>
      <c r="K433">
        <v>3685879</v>
      </c>
      <c r="L433" t="s">
        <v>501</v>
      </c>
      <c r="M433" t="str">
        <f>"9225008"</f>
        <v>9225008</v>
      </c>
      <c r="N433" t="str">
        <f>"9225008"</f>
        <v>9225008</v>
      </c>
      <c r="O433" t="str">
        <f>""</f>
        <v/>
      </c>
      <c r="P433" t="s">
        <v>1001</v>
      </c>
      <c r="Q433" t="str">
        <f>""</f>
        <v/>
      </c>
      <c r="R433" t="s">
        <v>1013</v>
      </c>
      <c r="T433" s="1" t="s">
        <v>1014</v>
      </c>
      <c r="U433">
        <v>654</v>
      </c>
      <c r="V433" t="s">
        <v>1001</v>
      </c>
      <c r="W433" t="s">
        <v>1004</v>
      </c>
      <c r="X433" t="s">
        <v>497</v>
      </c>
      <c r="Y433" t="s">
        <v>998</v>
      </c>
    </row>
    <row r="434" spans="1:25">
      <c r="A434">
        <v>13527</v>
      </c>
      <c r="B434" t="s">
        <v>25</v>
      </c>
      <c r="C434" t="str">
        <f t="shared" si="12"/>
        <v>INTEGRA Saloon</v>
      </c>
      <c r="D434" t="str">
        <f t="shared" si="13"/>
        <v>1.5</v>
      </c>
      <c r="E434" t="s">
        <v>26</v>
      </c>
      <c r="F434">
        <v>198501</v>
      </c>
      <c r="G434">
        <v>199012</v>
      </c>
      <c r="H434">
        <v>63</v>
      </c>
      <c r="I434">
        <v>85</v>
      </c>
      <c r="J434">
        <v>1488</v>
      </c>
      <c r="K434">
        <v>3964419</v>
      </c>
      <c r="L434" t="s">
        <v>27</v>
      </c>
      <c r="M434" t="str">
        <f>"H31017"</f>
        <v>H31017</v>
      </c>
      <c r="N434" t="str">
        <f>"H310-17"</f>
        <v>H310-17</v>
      </c>
      <c r="O434" t="str">
        <f>""</f>
        <v/>
      </c>
      <c r="P434" t="s">
        <v>1001</v>
      </c>
      <c r="Q434" t="str">
        <f>"8718993215401"</f>
        <v>8718993215401</v>
      </c>
      <c r="R434" t="s">
        <v>1015</v>
      </c>
      <c r="S434" t="s">
        <v>1016</v>
      </c>
      <c r="T434" s="1" t="s">
        <v>1017</v>
      </c>
      <c r="U434">
        <v>654</v>
      </c>
      <c r="V434" t="s">
        <v>1001</v>
      </c>
      <c r="W434" t="s">
        <v>1004</v>
      </c>
      <c r="X434" t="s">
        <v>497</v>
      </c>
      <c r="Y434" t="s">
        <v>998</v>
      </c>
    </row>
    <row r="435" spans="1:25">
      <c r="A435">
        <v>13527</v>
      </c>
      <c r="B435" t="s">
        <v>25</v>
      </c>
      <c r="C435" t="str">
        <f t="shared" si="12"/>
        <v>INTEGRA Saloon</v>
      </c>
      <c r="D435" t="str">
        <f t="shared" si="13"/>
        <v>1.5</v>
      </c>
      <c r="E435" t="s">
        <v>26</v>
      </c>
      <c r="F435">
        <v>198501</v>
      </c>
      <c r="G435">
        <v>199012</v>
      </c>
      <c r="H435">
        <v>63</v>
      </c>
      <c r="I435">
        <v>85</v>
      </c>
      <c r="J435">
        <v>1488</v>
      </c>
      <c r="K435">
        <v>3964422</v>
      </c>
      <c r="L435" t="s">
        <v>27</v>
      </c>
      <c r="M435" t="str">
        <f>"H31020"</f>
        <v>H31020</v>
      </c>
      <c r="N435" t="str">
        <f>"H310-20"</f>
        <v>H310-20</v>
      </c>
      <c r="O435" t="str">
        <f>""</f>
        <v/>
      </c>
      <c r="P435" t="s">
        <v>1001</v>
      </c>
      <c r="Q435" t="str">
        <f>"8718993215432"</f>
        <v>8718993215432</v>
      </c>
      <c r="R435" t="s">
        <v>1018</v>
      </c>
      <c r="S435" t="s">
        <v>424</v>
      </c>
      <c r="T435" s="1" t="s">
        <v>1019</v>
      </c>
      <c r="U435">
        <v>654</v>
      </c>
      <c r="V435" t="s">
        <v>1001</v>
      </c>
      <c r="W435" t="s">
        <v>1004</v>
      </c>
      <c r="X435" t="s">
        <v>497</v>
      </c>
      <c r="Y435" t="s">
        <v>998</v>
      </c>
    </row>
    <row r="436" spans="1:25">
      <c r="A436">
        <v>13527</v>
      </c>
      <c r="B436" t="s">
        <v>25</v>
      </c>
      <c r="C436" t="str">
        <f t="shared" si="12"/>
        <v>INTEGRA Saloon</v>
      </c>
      <c r="D436" t="str">
        <f t="shared" si="13"/>
        <v>1.5</v>
      </c>
      <c r="E436" t="s">
        <v>26</v>
      </c>
      <c r="F436">
        <v>198501</v>
      </c>
      <c r="G436">
        <v>199012</v>
      </c>
      <c r="H436">
        <v>63</v>
      </c>
      <c r="I436">
        <v>85</v>
      </c>
      <c r="J436">
        <v>1488</v>
      </c>
      <c r="K436">
        <v>3034550</v>
      </c>
      <c r="L436" t="s">
        <v>33</v>
      </c>
      <c r="M436" t="str">
        <f>"J5390002"</f>
        <v>J5390002</v>
      </c>
      <c r="N436" t="str">
        <f>"J5390002"</f>
        <v>J5390002</v>
      </c>
      <c r="O436" t="str">
        <f>""</f>
        <v/>
      </c>
      <c r="P436" t="s">
        <v>1020</v>
      </c>
      <c r="Q436" t="str">
        <f>"8711768074807"</f>
        <v>8711768074807</v>
      </c>
      <c r="R436" t="s">
        <v>1021</v>
      </c>
      <c r="S436" t="s">
        <v>1022</v>
      </c>
      <c r="T436" t="s">
        <v>1023</v>
      </c>
      <c r="U436">
        <v>685</v>
      </c>
      <c r="V436" t="s">
        <v>1020</v>
      </c>
      <c r="W436" t="s">
        <v>1024</v>
      </c>
      <c r="X436" t="s">
        <v>1025</v>
      </c>
    </row>
    <row r="437" spans="1:25">
      <c r="A437">
        <v>13527</v>
      </c>
      <c r="B437" t="s">
        <v>25</v>
      </c>
      <c r="C437" t="str">
        <f t="shared" si="12"/>
        <v>INTEGRA Saloon</v>
      </c>
      <c r="D437" t="str">
        <f t="shared" si="13"/>
        <v>1.5</v>
      </c>
      <c r="E437" t="s">
        <v>26</v>
      </c>
      <c r="F437">
        <v>198501</v>
      </c>
      <c r="G437">
        <v>199012</v>
      </c>
      <c r="H437">
        <v>63</v>
      </c>
      <c r="I437">
        <v>85</v>
      </c>
      <c r="J437">
        <v>1488</v>
      </c>
      <c r="K437">
        <v>3747518</v>
      </c>
      <c r="L437" t="s">
        <v>1026</v>
      </c>
      <c r="M437" t="str">
        <f>"JP325"</f>
        <v>JP325</v>
      </c>
      <c r="N437" t="str">
        <f>"JP325"</f>
        <v>JP325</v>
      </c>
      <c r="O437" t="str">
        <f>""</f>
        <v/>
      </c>
      <c r="P437" t="s">
        <v>1020</v>
      </c>
      <c r="Q437" t="str">
        <f>"5902925018496"</f>
        <v>5902925018496</v>
      </c>
      <c r="R437" t="s">
        <v>1027</v>
      </c>
      <c r="T437" s="1" t="s">
        <v>1028</v>
      </c>
      <c r="U437">
        <v>685</v>
      </c>
      <c r="V437" t="s">
        <v>1020</v>
      </c>
      <c r="W437" t="s">
        <v>1024</v>
      </c>
      <c r="X437" t="s">
        <v>1025</v>
      </c>
    </row>
    <row r="438" spans="1:25">
      <c r="A438">
        <v>13527</v>
      </c>
      <c r="B438" t="s">
        <v>25</v>
      </c>
      <c r="C438" t="str">
        <f t="shared" si="12"/>
        <v>INTEGRA Saloon</v>
      </c>
      <c r="D438" t="str">
        <f t="shared" si="13"/>
        <v>1.5</v>
      </c>
      <c r="E438" t="s">
        <v>26</v>
      </c>
      <c r="F438">
        <v>198501</v>
      </c>
      <c r="G438">
        <v>199012</v>
      </c>
      <c r="H438">
        <v>63</v>
      </c>
      <c r="I438">
        <v>85</v>
      </c>
      <c r="J438">
        <v>1488</v>
      </c>
      <c r="K438">
        <v>3747711</v>
      </c>
      <c r="L438" t="s">
        <v>1026</v>
      </c>
      <c r="M438" t="str">
        <f>"JPE325"</f>
        <v>JPE325</v>
      </c>
      <c r="N438" t="str">
        <f>"JPE325"</f>
        <v>JPE325</v>
      </c>
      <c r="O438" t="str">
        <f>""</f>
        <v/>
      </c>
      <c r="P438" t="s">
        <v>1020</v>
      </c>
      <c r="Q438" t="str">
        <f>"5902925009968"</f>
        <v>5902925009968</v>
      </c>
      <c r="R438" t="s">
        <v>1029</v>
      </c>
      <c r="T438" s="1" t="s">
        <v>1028</v>
      </c>
      <c r="U438">
        <v>685</v>
      </c>
      <c r="V438" t="s">
        <v>1020</v>
      </c>
      <c r="W438" t="s">
        <v>1024</v>
      </c>
      <c r="X438" t="s">
        <v>1025</v>
      </c>
    </row>
    <row r="439" spans="1:25">
      <c r="A439">
        <v>13527</v>
      </c>
      <c r="B439" t="s">
        <v>25</v>
      </c>
      <c r="C439" t="str">
        <f t="shared" si="12"/>
        <v>INTEGRA Saloon</v>
      </c>
      <c r="D439" t="str">
        <f t="shared" si="13"/>
        <v>1.5</v>
      </c>
      <c r="E439" t="s">
        <v>26</v>
      </c>
      <c r="F439">
        <v>198501</v>
      </c>
      <c r="G439">
        <v>199012</v>
      </c>
      <c r="H439">
        <v>63</v>
      </c>
      <c r="I439">
        <v>85</v>
      </c>
      <c r="J439">
        <v>1488</v>
      </c>
      <c r="K439">
        <v>3968953</v>
      </c>
      <c r="L439" t="s">
        <v>27</v>
      </c>
      <c r="M439" t="str">
        <f>"M50901"</f>
        <v>M50901</v>
      </c>
      <c r="N439" t="str">
        <f>"M509-01"</f>
        <v>M509-01</v>
      </c>
      <c r="O439" t="str">
        <f>""</f>
        <v/>
      </c>
      <c r="P439" t="s">
        <v>1020</v>
      </c>
      <c r="Q439" t="str">
        <f>"8718993282625"</f>
        <v>8718993282625</v>
      </c>
      <c r="R439" t="s">
        <v>1030</v>
      </c>
      <c r="S439" t="s">
        <v>1031</v>
      </c>
      <c r="T439" s="1" t="s">
        <v>1032</v>
      </c>
      <c r="U439">
        <v>685</v>
      </c>
      <c r="V439" t="s">
        <v>1020</v>
      </c>
      <c r="W439" t="s">
        <v>1024</v>
      </c>
      <c r="X439" t="s">
        <v>1025</v>
      </c>
    </row>
    <row r="440" spans="1:25">
      <c r="A440">
        <v>13527</v>
      </c>
      <c r="B440" t="s">
        <v>25</v>
      </c>
      <c r="C440" t="str">
        <f t="shared" si="12"/>
        <v>INTEGRA Saloon</v>
      </c>
      <c r="D440" t="str">
        <f t="shared" si="13"/>
        <v>1.5</v>
      </c>
      <c r="E440" t="s">
        <v>26</v>
      </c>
      <c r="F440">
        <v>198501</v>
      </c>
      <c r="G440">
        <v>199012</v>
      </c>
      <c r="H440">
        <v>63</v>
      </c>
      <c r="I440">
        <v>85</v>
      </c>
      <c r="J440">
        <v>1488</v>
      </c>
      <c r="K440">
        <v>1669866</v>
      </c>
      <c r="L440" t="s">
        <v>83</v>
      </c>
      <c r="M440" t="str">
        <f>"EON6286"</f>
        <v>EON6286</v>
      </c>
      <c r="N440" t="str">
        <f>"EON6/286"</f>
        <v>EON6/286</v>
      </c>
      <c r="O440" t="str">
        <f>"EON6"</f>
        <v>EON6</v>
      </c>
      <c r="P440" t="s">
        <v>1033</v>
      </c>
      <c r="Q440" t="str">
        <f>"5010874509054"</f>
        <v>5010874509054</v>
      </c>
      <c r="R440" t="s">
        <v>1034</v>
      </c>
      <c r="S440" t="s">
        <v>1035</v>
      </c>
      <c r="T440" s="1" t="s">
        <v>1036</v>
      </c>
      <c r="U440">
        <v>686</v>
      </c>
      <c r="V440" t="s">
        <v>1033</v>
      </c>
      <c r="W440" t="s">
        <v>1033</v>
      </c>
      <c r="X440" t="s">
        <v>1025</v>
      </c>
    </row>
    <row r="441" spans="1:25">
      <c r="A441">
        <v>13527</v>
      </c>
      <c r="B441" t="s">
        <v>25</v>
      </c>
      <c r="C441" t="str">
        <f t="shared" si="12"/>
        <v>INTEGRA Saloon</v>
      </c>
      <c r="D441" t="str">
        <f t="shared" si="13"/>
        <v>1.5</v>
      </c>
      <c r="E441" t="s">
        <v>26</v>
      </c>
      <c r="F441">
        <v>198501</v>
      </c>
      <c r="G441">
        <v>199012</v>
      </c>
      <c r="H441">
        <v>63</v>
      </c>
      <c r="I441">
        <v>85</v>
      </c>
      <c r="J441">
        <v>1488</v>
      </c>
      <c r="K441">
        <v>1669867</v>
      </c>
      <c r="L441" t="s">
        <v>83</v>
      </c>
      <c r="M441" t="str">
        <f>"EON6287"</f>
        <v>EON6287</v>
      </c>
      <c r="N441" t="str">
        <f>"EON6/287"</f>
        <v>EON6/287</v>
      </c>
      <c r="O441" t="str">
        <f>"EON6"</f>
        <v>EON6</v>
      </c>
      <c r="P441" t="s">
        <v>1033</v>
      </c>
      <c r="Q441" t="str">
        <f>"5010874534667"</f>
        <v>5010874534667</v>
      </c>
      <c r="R441" t="s">
        <v>1034</v>
      </c>
      <c r="S441" t="s">
        <v>1035</v>
      </c>
      <c r="T441" s="1" t="s">
        <v>1036</v>
      </c>
      <c r="U441">
        <v>686</v>
      </c>
      <c r="V441" t="s">
        <v>1033</v>
      </c>
      <c r="W441" t="s">
        <v>1033</v>
      </c>
      <c r="X441" t="s">
        <v>1025</v>
      </c>
    </row>
    <row r="442" spans="1:25">
      <c r="A442">
        <v>13527</v>
      </c>
      <c r="B442" t="s">
        <v>25</v>
      </c>
      <c r="C442" t="str">
        <f t="shared" si="12"/>
        <v>INTEGRA Saloon</v>
      </c>
      <c r="D442" t="str">
        <f t="shared" si="13"/>
        <v>1.5</v>
      </c>
      <c r="E442" t="s">
        <v>26</v>
      </c>
      <c r="F442">
        <v>198501</v>
      </c>
      <c r="G442">
        <v>199012</v>
      </c>
      <c r="H442">
        <v>63</v>
      </c>
      <c r="I442">
        <v>85</v>
      </c>
      <c r="J442">
        <v>1488</v>
      </c>
      <c r="K442">
        <v>1670243</v>
      </c>
      <c r="L442" t="s">
        <v>83</v>
      </c>
      <c r="M442" t="str">
        <f>"OE048R04"</f>
        <v>OE048R04</v>
      </c>
      <c r="N442" t="str">
        <f>"OE048/R04"</f>
        <v>OE048/R04</v>
      </c>
      <c r="O442" t="str">
        <f>"OE048"</f>
        <v>OE048</v>
      </c>
      <c r="P442" t="s">
        <v>1033</v>
      </c>
      <c r="Q442" t="str">
        <f>"5010874720879"</f>
        <v>5010874720879</v>
      </c>
      <c r="R442" t="s">
        <v>1037</v>
      </c>
      <c r="S442" t="s">
        <v>1035</v>
      </c>
      <c r="T442" s="1" t="s">
        <v>1038</v>
      </c>
      <c r="U442">
        <v>686</v>
      </c>
      <c r="V442" t="s">
        <v>1033</v>
      </c>
      <c r="W442" t="s">
        <v>1033</v>
      </c>
      <c r="X442" t="s">
        <v>1025</v>
      </c>
    </row>
    <row r="443" spans="1:25">
      <c r="A443">
        <v>13527</v>
      </c>
      <c r="B443" t="s">
        <v>25</v>
      </c>
      <c r="C443" t="str">
        <f t="shared" si="12"/>
        <v>INTEGRA Saloon</v>
      </c>
      <c r="D443" t="str">
        <f t="shared" si="13"/>
        <v>1.5</v>
      </c>
      <c r="E443" t="s">
        <v>26</v>
      </c>
      <c r="F443">
        <v>198501</v>
      </c>
      <c r="G443">
        <v>199012</v>
      </c>
      <c r="H443">
        <v>63</v>
      </c>
      <c r="I443">
        <v>85</v>
      </c>
      <c r="J443">
        <v>1488</v>
      </c>
      <c r="K443">
        <v>1670244</v>
      </c>
      <c r="L443" t="s">
        <v>83</v>
      </c>
      <c r="M443" t="str">
        <f>"OE048T10"</f>
        <v>OE048T10</v>
      </c>
      <c r="N443" t="str">
        <f>"OE048/T10"</f>
        <v>OE048/T10</v>
      </c>
      <c r="O443" t="str">
        <f>"OE048"</f>
        <v>OE048</v>
      </c>
      <c r="P443" t="s">
        <v>1033</v>
      </c>
      <c r="Q443" t="str">
        <f>"5010874505667"</f>
        <v>5010874505667</v>
      </c>
      <c r="R443" t="s">
        <v>1037</v>
      </c>
      <c r="S443" t="s">
        <v>1035</v>
      </c>
      <c r="T443" s="1" t="s">
        <v>1039</v>
      </c>
      <c r="U443">
        <v>686</v>
      </c>
      <c r="V443" t="s">
        <v>1033</v>
      </c>
      <c r="W443" t="s">
        <v>1033</v>
      </c>
      <c r="X443" t="s">
        <v>1025</v>
      </c>
    </row>
    <row r="444" spans="1:25">
      <c r="A444">
        <v>13527</v>
      </c>
      <c r="B444" t="s">
        <v>25</v>
      </c>
      <c r="C444" t="str">
        <f t="shared" si="12"/>
        <v>INTEGRA Saloon</v>
      </c>
      <c r="D444" t="str">
        <f t="shared" si="13"/>
        <v>1.5</v>
      </c>
      <c r="E444" t="s">
        <v>26</v>
      </c>
      <c r="F444">
        <v>198501</v>
      </c>
      <c r="G444">
        <v>199012</v>
      </c>
      <c r="H444">
        <v>63</v>
      </c>
      <c r="I444">
        <v>85</v>
      </c>
      <c r="J444">
        <v>1488</v>
      </c>
      <c r="K444">
        <v>1670383</v>
      </c>
      <c r="L444" t="s">
        <v>83</v>
      </c>
      <c r="M444" t="str">
        <f>"OE195R04"</f>
        <v>OE195R04</v>
      </c>
      <c r="N444" t="str">
        <f>"OE195/R04"</f>
        <v>OE195/R04</v>
      </c>
      <c r="O444" t="str">
        <f>"9804"</f>
        <v>9804</v>
      </c>
      <c r="P444" t="s">
        <v>1033</v>
      </c>
      <c r="Q444" t="str">
        <f>"4044197407699"</f>
        <v>4044197407699</v>
      </c>
      <c r="R444" t="s">
        <v>1040</v>
      </c>
      <c r="S444" t="s">
        <v>1035</v>
      </c>
      <c r="T444" s="1" t="s">
        <v>1041</v>
      </c>
      <c r="U444">
        <v>686</v>
      </c>
      <c r="V444" t="s">
        <v>1033</v>
      </c>
      <c r="W444" t="s">
        <v>1033</v>
      </c>
      <c r="X444" t="s">
        <v>1025</v>
      </c>
    </row>
    <row r="445" spans="1:25">
      <c r="A445">
        <v>13527</v>
      </c>
      <c r="B445" t="s">
        <v>25</v>
      </c>
      <c r="C445" t="str">
        <f t="shared" si="12"/>
        <v>INTEGRA Saloon</v>
      </c>
      <c r="D445" t="str">
        <f t="shared" si="13"/>
        <v>1.5</v>
      </c>
      <c r="E445" t="s">
        <v>26</v>
      </c>
      <c r="F445">
        <v>198501</v>
      </c>
      <c r="G445">
        <v>199012</v>
      </c>
      <c r="H445">
        <v>63</v>
      </c>
      <c r="I445">
        <v>85</v>
      </c>
      <c r="J445">
        <v>1488</v>
      </c>
      <c r="K445">
        <v>1670384</v>
      </c>
      <c r="L445" t="s">
        <v>83</v>
      </c>
      <c r="M445" t="str">
        <f>"OE195T10"</f>
        <v>OE195T10</v>
      </c>
      <c r="N445" t="str">
        <f>"OE195/T10"</f>
        <v>OE195/T10</v>
      </c>
      <c r="O445" t="str">
        <f>"9804"</f>
        <v>9804</v>
      </c>
      <c r="P445" t="s">
        <v>1033</v>
      </c>
      <c r="Q445" t="str">
        <f>"4044197407385"</f>
        <v>4044197407385</v>
      </c>
      <c r="R445" t="s">
        <v>1040</v>
      </c>
      <c r="S445" t="s">
        <v>1035</v>
      </c>
      <c r="T445" s="1" t="s">
        <v>1041</v>
      </c>
      <c r="U445">
        <v>686</v>
      </c>
      <c r="V445" t="s">
        <v>1033</v>
      </c>
      <c r="W445" t="s">
        <v>1033</v>
      </c>
      <c r="X445" t="s">
        <v>1025</v>
      </c>
    </row>
    <row r="446" spans="1:25">
      <c r="A446">
        <v>13527</v>
      </c>
      <c r="B446" t="s">
        <v>25</v>
      </c>
      <c r="C446" t="str">
        <f t="shared" si="12"/>
        <v>INTEGRA Saloon</v>
      </c>
      <c r="D446" t="str">
        <f t="shared" si="13"/>
        <v>1.5</v>
      </c>
      <c r="E446" t="s">
        <v>26</v>
      </c>
      <c r="F446">
        <v>198501</v>
      </c>
      <c r="G446">
        <v>199012</v>
      </c>
      <c r="H446">
        <v>63</v>
      </c>
      <c r="I446">
        <v>85</v>
      </c>
      <c r="J446">
        <v>1488</v>
      </c>
      <c r="K446">
        <v>3960449</v>
      </c>
      <c r="L446" t="s">
        <v>27</v>
      </c>
      <c r="M446" t="str">
        <f>"B21045"</f>
        <v>B21045</v>
      </c>
      <c r="N446" t="str">
        <f>"B210-45"</f>
        <v>B210-45</v>
      </c>
      <c r="O446" t="str">
        <f>""</f>
        <v/>
      </c>
      <c r="P446" t="s">
        <v>1033</v>
      </c>
      <c r="Q446" t="str">
        <f>""</f>
        <v/>
      </c>
      <c r="T446" t="s">
        <v>1042</v>
      </c>
      <c r="U446">
        <v>686</v>
      </c>
      <c r="V446" t="s">
        <v>1033</v>
      </c>
      <c r="W446" t="s">
        <v>1033</v>
      </c>
      <c r="X446" t="s">
        <v>1025</v>
      </c>
    </row>
    <row r="447" spans="1:25">
      <c r="A447">
        <v>13527</v>
      </c>
      <c r="B447" t="s">
        <v>25</v>
      </c>
      <c r="C447" t="str">
        <f t="shared" si="12"/>
        <v>INTEGRA Saloon</v>
      </c>
      <c r="D447" t="str">
        <f t="shared" si="13"/>
        <v>1.5</v>
      </c>
      <c r="E447" t="s">
        <v>26</v>
      </c>
      <c r="F447">
        <v>198501</v>
      </c>
      <c r="G447">
        <v>199012</v>
      </c>
      <c r="H447">
        <v>63</v>
      </c>
      <c r="I447">
        <v>85</v>
      </c>
      <c r="J447">
        <v>1488</v>
      </c>
      <c r="K447">
        <v>3034266</v>
      </c>
      <c r="L447" t="s">
        <v>33</v>
      </c>
      <c r="M447" t="str">
        <f>"J5334000"</f>
        <v>J5334000</v>
      </c>
      <c r="N447" t="str">
        <f>"J5334000"</f>
        <v>J5334000</v>
      </c>
      <c r="O447" t="str">
        <f>""</f>
        <v/>
      </c>
      <c r="P447" t="s">
        <v>1043</v>
      </c>
      <c r="Q447" t="str">
        <f>"8711768072742"</f>
        <v>8711768072742</v>
      </c>
      <c r="S447" t="s">
        <v>1044</v>
      </c>
      <c r="T447" t="s">
        <v>1045</v>
      </c>
      <c r="U447">
        <v>691</v>
      </c>
      <c r="V447" t="s">
        <v>1043</v>
      </c>
      <c r="W447" t="s">
        <v>1043</v>
      </c>
      <c r="X447" t="s">
        <v>1025</v>
      </c>
      <c r="Y447" t="s">
        <v>1046</v>
      </c>
    </row>
    <row r="448" spans="1:25">
      <c r="A448">
        <v>13527</v>
      </c>
      <c r="B448" t="s">
        <v>25</v>
      </c>
      <c r="C448" t="str">
        <f t="shared" si="12"/>
        <v>INTEGRA Saloon</v>
      </c>
      <c r="D448" t="str">
        <f t="shared" si="13"/>
        <v>1.5</v>
      </c>
      <c r="E448" t="s">
        <v>26</v>
      </c>
      <c r="F448">
        <v>198501</v>
      </c>
      <c r="G448">
        <v>199012</v>
      </c>
      <c r="H448">
        <v>63</v>
      </c>
      <c r="I448">
        <v>85</v>
      </c>
      <c r="J448">
        <v>1488</v>
      </c>
      <c r="K448">
        <v>3964029</v>
      </c>
      <c r="L448" t="s">
        <v>27</v>
      </c>
      <c r="M448" t="str">
        <f>"H14202"</f>
        <v>H14202</v>
      </c>
      <c r="N448" t="str">
        <f>"H142-02"</f>
        <v>H142-02</v>
      </c>
      <c r="O448" t="str">
        <f>""</f>
        <v/>
      </c>
      <c r="P448" t="s">
        <v>1043</v>
      </c>
      <c r="Q448" t="str">
        <f>"8718993211427"</f>
        <v>8718993211427</v>
      </c>
      <c r="R448" t="s">
        <v>1047</v>
      </c>
      <c r="S448" t="s">
        <v>1044</v>
      </c>
      <c r="T448" s="1" t="s">
        <v>1048</v>
      </c>
      <c r="U448">
        <v>691</v>
      </c>
      <c r="V448" t="s">
        <v>1043</v>
      </c>
      <c r="W448" t="s">
        <v>1043</v>
      </c>
      <c r="X448" t="s">
        <v>1025</v>
      </c>
      <c r="Y448" t="s">
        <v>1046</v>
      </c>
    </row>
    <row r="449" spans="1:25">
      <c r="A449">
        <v>13527</v>
      </c>
      <c r="B449" t="s">
        <v>25</v>
      </c>
      <c r="C449" t="str">
        <f t="shared" si="12"/>
        <v>INTEGRA Saloon</v>
      </c>
      <c r="D449" t="str">
        <f t="shared" si="13"/>
        <v>1.5</v>
      </c>
      <c r="E449" t="s">
        <v>26</v>
      </c>
      <c r="F449">
        <v>198501</v>
      </c>
      <c r="G449">
        <v>199012</v>
      </c>
      <c r="H449">
        <v>63</v>
      </c>
      <c r="I449">
        <v>85</v>
      </c>
      <c r="J449">
        <v>1488</v>
      </c>
      <c r="K449">
        <v>3034143</v>
      </c>
      <c r="L449" t="s">
        <v>33</v>
      </c>
      <c r="M449" t="str">
        <f>"J5324004"</f>
        <v>J5324004</v>
      </c>
      <c r="N449" t="str">
        <f>"J5324004"</f>
        <v>J5324004</v>
      </c>
      <c r="O449" t="str">
        <f>""</f>
        <v/>
      </c>
      <c r="P449" t="s">
        <v>1049</v>
      </c>
      <c r="Q449" t="str">
        <f>"8711768071585"</f>
        <v>8711768071585</v>
      </c>
      <c r="S449" t="s">
        <v>1044</v>
      </c>
      <c r="T449" t="s">
        <v>1050</v>
      </c>
      <c r="U449">
        <v>692</v>
      </c>
      <c r="V449" t="s">
        <v>1049</v>
      </c>
      <c r="W449" t="s">
        <v>1051</v>
      </c>
      <c r="X449" t="s">
        <v>1025</v>
      </c>
      <c r="Y449" t="s">
        <v>1046</v>
      </c>
    </row>
    <row r="450" spans="1:25">
      <c r="A450">
        <v>13527</v>
      </c>
      <c r="B450" t="s">
        <v>25</v>
      </c>
      <c r="C450" t="str">
        <f t="shared" ref="C450:C513" si="14">"INTEGRA Saloon"</f>
        <v>INTEGRA Saloon</v>
      </c>
      <c r="D450" t="str">
        <f t="shared" ref="D450:D513" si="15">"1.5"</f>
        <v>1.5</v>
      </c>
      <c r="E450" t="s">
        <v>26</v>
      </c>
      <c r="F450">
        <v>198501</v>
      </c>
      <c r="G450">
        <v>199012</v>
      </c>
      <c r="H450">
        <v>63</v>
      </c>
      <c r="I450">
        <v>85</v>
      </c>
      <c r="J450">
        <v>1488</v>
      </c>
      <c r="K450">
        <v>3964019</v>
      </c>
      <c r="L450" t="s">
        <v>27</v>
      </c>
      <c r="M450" t="str">
        <f>"H14104"</f>
        <v>H14104</v>
      </c>
      <c r="N450" t="str">
        <f>"H141-04"</f>
        <v>H141-04</v>
      </c>
      <c r="O450" t="str">
        <f>""</f>
        <v/>
      </c>
      <c r="P450" t="s">
        <v>1049</v>
      </c>
      <c r="Q450" t="str">
        <f>"8718993211281"</f>
        <v>8718993211281</v>
      </c>
      <c r="R450" t="s">
        <v>1052</v>
      </c>
      <c r="S450" t="s">
        <v>1044</v>
      </c>
      <c r="T450" s="1" t="s">
        <v>1053</v>
      </c>
      <c r="U450">
        <v>692</v>
      </c>
      <c r="V450" t="s">
        <v>1049</v>
      </c>
      <c r="W450" t="s">
        <v>1051</v>
      </c>
      <c r="X450" t="s">
        <v>1025</v>
      </c>
      <c r="Y450" t="s">
        <v>1046</v>
      </c>
    </row>
    <row r="451" spans="1:25">
      <c r="A451">
        <v>13527</v>
      </c>
      <c r="B451" t="s">
        <v>25</v>
      </c>
      <c r="C451" t="str">
        <f t="shared" si="14"/>
        <v>INTEGRA Saloon</v>
      </c>
      <c r="D451" t="str">
        <f t="shared" si="15"/>
        <v>1.5</v>
      </c>
      <c r="E451" t="s">
        <v>26</v>
      </c>
      <c r="F451">
        <v>198501</v>
      </c>
      <c r="G451">
        <v>199012</v>
      </c>
      <c r="H451">
        <v>63</v>
      </c>
      <c r="I451">
        <v>85</v>
      </c>
      <c r="J451">
        <v>1488</v>
      </c>
      <c r="K451">
        <v>587971</v>
      </c>
      <c r="L451" t="s">
        <v>636</v>
      </c>
      <c r="M451" t="str">
        <f>"NJ313"</f>
        <v>NJ313</v>
      </c>
      <c r="N451" t="str">
        <f>"NJ313"</f>
        <v>NJ313</v>
      </c>
      <c r="O451" t="str">
        <f>""</f>
        <v/>
      </c>
      <c r="P451" t="s">
        <v>1054</v>
      </c>
      <c r="Q451" t="str">
        <f>""</f>
        <v/>
      </c>
      <c r="R451" s="1" t="s">
        <v>1055</v>
      </c>
      <c r="S451" t="s">
        <v>102</v>
      </c>
      <c r="T451" s="1" t="s">
        <v>1056</v>
      </c>
      <c r="U451">
        <v>757</v>
      </c>
      <c r="V451" t="s">
        <v>1057</v>
      </c>
      <c r="W451" t="s">
        <v>987</v>
      </c>
      <c r="X451" t="s">
        <v>1058</v>
      </c>
      <c r="Y451" t="s">
        <v>1059</v>
      </c>
    </row>
    <row r="452" spans="1:25">
      <c r="A452">
        <v>13527</v>
      </c>
      <c r="B452" t="s">
        <v>25</v>
      </c>
      <c r="C452" t="str">
        <f t="shared" si="14"/>
        <v>INTEGRA Saloon</v>
      </c>
      <c r="D452" t="str">
        <f t="shared" si="15"/>
        <v>1.5</v>
      </c>
      <c r="E452" t="s">
        <v>26</v>
      </c>
      <c r="F452">
        <v>198501</v>
      </c>
      <c r="G452">
        <v>199012</v>
      </c>
      <c r="H452">
        <v>63</v>
      </c>
      <c r="I452">
        <v>85</v>
      </c>
      <c r="J452">
        <v>1488</v>
      </c>
      <c r="K452">
        <v>1135711</v>
      </c>
      <c r="L452" t="s">
        <v>659</v>
      </c>
      <c r="M452" t="str">
        <f>"012160"</f>
        <v>012160</v>
      </c>
      <c r="N452" t="str">
        <f>"012.160"</f>
        <v>012.160</v>
      </c>
      <c r="O452" t="str">
        <f>""</f>
        <v/>
      </c>
      <c r="P452" t="s">
        <v>1060</v>
      </c>
      <c r="Q452" t="str">
        <f>"4041248121511"</f>
        <v>4041248121511</v>
      </c>
      <c r="R452" t="s">
        <v>1061</v>
      </c>
      <c r="T452" s="1" t="s">
        <v>1062</v>
      </c>
      <c r="U452">
        <v>757</v>
      </c>
      <c r="V452" t="s">
        <v>1057</v>
      </c>
      <c r="W452" t="s">
        <v>987</v>
      </c>
      <c r="X452" t="s">
        <v>1058</v>
      </c>
      <c r="Y452" t="s">
        <v>1059</v>
      </c>
    </row>
    <row r="453" spans="1:25">
      <c r="A453">
        <v>13527</v>
      </c>
      <c r="B453" t="s">
        <v>25</v>
      </c>
      <c r="C453" t="str">
        <f t="shared" si="14"/>
        <v>INTEGRA Saloon</v>
      </c>
      <c r="D453" t="str">
        <f t="shared" si="15"/>
        <v>1.5</v>
      </c>
      <c r="E453" t="s">
        <v>26</v>
      </c>
      <c r="F453">
        <v>198501</v>
      </c>
      <c r="G453">
        <v>199012</v>
      </c>
      <c r="H453">
        <v>63</v>
      </c>
      <c r="I453">
        <v>85</v>
      </c>
      <c r="J453">
        <v>1488</v>
      </c>
      <c r="K453">
        <v>4856909</v>
      </c>
      <c r="L453" t="s">
        <v>995</v>
      </c>
      <c r="M453" t="str">
        <f>"WG1224103"</f>
        <v>WG1224103</v>
      </c>
      <c r="N453" t="str">
        <f>"WG1224103"</f>
        <v>WG1224103</v>
      </c>
      <c r="O453" t="str">
        <f>"LHTC Simmerring"</f>
        <v>LHTC Simmerring</v>
      </c>
      <c r="P453" t="s">
        <v>1063</v>
      </c>
      <c r="Q453" t="str">
        <f>"3358960164865"</f>
        <v>3358960164865</v>
      </c>
      <c r="R453" t="s">
        <v>1064</v>
      </c>
      <c r="T453" t="s">
        <v>1065</v>
      </c>
      <c r="U453">
        <v>757</v>
      </c>
      <c r="V453" t="s">
        <v>1057</v>
      </c>
      <c r="W453" t="s">
        <v>987</v>
      </c>
      <c r="X453" t="s">
        <v>1058</v>
      </c>
      <c r="Y453" t="s">
        <v>1059</v>
      </c>
    </row>
    <row r="454" spans="1:25">
      <c r="A454">
        <v>13527</v>
      </c>
      <c r="B454" t="s">
        <v>25</v>
      </c>
      <c r="C454" t="str">
        <f t="shared" si="14"/>
        <v>INTEGRA Saloon</v>
      </c>
      <c r="D454" t="str">
        <f t="shared" si="15"/>
        <v>1.5</v>
      </c>
      <c r="E454" t="s">
        <v>26</v>
      </c>
      <c r="F454">
        <v>198501</v>
      </c>
      <c r="G454">
        <v>199012</v>
      </c>
      <c r="H454">
        <v>63</v>
      </c>
      <c r="I454">
        <v>85</v>
      </c>
      <c r="J454">
        <v>1488</v>
      </c>
      <c r="K454">
        <v>3034910</v>
      </c>
      <c r="L454" t="s">
        <v>33</v>
      </c>
      <c r="M454" t="str">
        <f>"J5611000"</f>
        <v>J5611000</v>
      </c>
      <c r="N454" t="str">
        <f>"J5611000"</f>
        <v>J5611000</v>
      </c>
      <c r="O454" t="str">
        <f>""</f>
        <v/>
      </c>
      <c r="P454" t="s">
        <v>1066</v>
      </c>
      <c r="Q454" t="str">
        <f>"8711768074951"</f>
        <v>8711768074951</v>
      </c>
      <c r="R454" t="s">
        <v>1067</v>
      </c>
      <c r="T454" s="1" t="s">
        <v>1068</v>
      </c>
      <c r="U454">
        <v>805</v>
      </c>
      <c r="V454" t="s">
        <v>1066</v>
      </c>
      <c r="W454" t="s">
        <v>1069</v>
      </c>
      <c r="X454" t="s">
        <v>71</v>
      </c>
      <c r="Y454" t="s">
        <v>1070</v>
      </c>
    </row>
    <row r="455" spans="1:25">
      <c r="A455">
        <v>13527</v>
      </c>
      <c r="B455" t="s">
        <v>25</v>
      </c>
      <c r="C455" t="str">
        <f t="shared" si="14"/>
        <v>INTEGRA Saloon</v>
      </c>
      <c r="D455" t="str">
        <f t="shared" si="15"/>
        <v>1.5</v>
      </c>
      <c r="E455" t="s">
        <v>26</v>
      </c>
      <c r="F455">
        <v>198501</v>
      </c>
      <c r="G455">
        <v>199012</v>
      </c>
      <c r="H455">
        <v>63</v>
      </c>
      <c r="I455">
        <v>85</v>
      </c>
      <c r="J455">
        <v>1488</v>
      </c>
      <c r="K455">
        <v>3963916</v>
      </c>
      <c r="L455" t="s">
        <v>27</v>
      </c>
      <c r="M455" t="str">
        <f>"H10250"</f>
        <v>H10250</v>
      </c>
      <c r="N455" t="str">
        <f>"H102-50"</f>
        <v>H102-50</v>
      </c>
      <c r="O455" t="str">
        <f>""</f>
        <v/>
      </c>
      <c r="P455" t="s">
        <v>1066</v>
      </c>
      <c r="Q455" t="str">
        <f>"8718993209790"</f>
        <v>8718993209790</v>
      </c>
      <c r="R455" t="s">
        <v>1071</v>
      </c>
      <c r="T455" s="1" t="s">
        <v>1072</v>
      </c>
      <c r="U455">
        <v>805</v>
      </c>
      <c r="V455" t="s">
        <v>1066</v>
      </c>
      <c r="W455" t="s">
        <v>1069</v>
      </c>
      <c r="X455" t="s">
        <v>71</v>
      </c>
      <c r="Y455" t="s">
        <v>1070</v>
      </c>
    </row>
    <row r="456" spans="1:25">
      <c r="A456">
        <v>13527</v>
      </c>
      <c r="B456" t="s">
        <v>25</v>
      </c>
      <c r="C456" t="str">
        <f t="shared" si="14"/>
        <v>INTEGRA Saloon</v>
      </c>
      <c r="D456" t="str">
        <f t="shared" si="15"/>
        <v>1.5</v>
      </c>
      <c r="E456" t="s">
        <v>26</v>
      </c>
      <c r="F456">
        <v>198501</v>
      </c>
      <c r="G456">
        <v>199012</v>
      </c>
      <c r="H456">
        <v>63</v>
      </c>
      <c r="I456">
        <v>85</v>
      </c>
      <c r="J456">
        <v>1488</v>
      </c>
      <c r="K456">
        <v>3034952</v>
      </c>
      <c r="L456" t="s">
        <v>33</v>
      </c>
      <c r="M456" t="str">
        <f>"J5624001"</f>
        <v>J5624001</v>
      </c>
      <c r="N456" t="str">
        <f>"J5624001"</f>
        <v>J5624001</v>
      </c>
      <c r="O456" t="str">
        <f>""</f>
        <v/>
      </c>
      <c r="P456" t="s">
        <v>1073</v>
      </c>
      <c r="Q456" t="str">
        <f>"8711768075347"</f>
        <v>8711768075347</v>
      </c>
      <c r="R456" t="s">
        <v>1074</v>
      </c>
      <c r="S456" t="s">
        <v>1075</v>
      </c>
      <c r="T456" t="s">
        <v>1076</v>
      </c>
      <c r="U456">
        <v>830</v>
      </c>
      <c r="V456" t="s">
        <v>1073</v>
      </c>
      <c r="W456" t="s">
        <v>1077</v>
      </c>
      <c r="X456" t="s">
        <v>626</v>
      </c>
      <c r="Y456" t="s">
        <v>1078</v>
      </c>
    </row>
    <row r="457" spans="1:25">
      <c r="A457">
        <v>13527</v>
      </c>
      <c r="B457" t="s">
        <v>25</v>
      </c>
      <c r="C457" t="str">
        <f t="shared" si="14"/>
        <v>INTEGRA Saloon</v>
      </c>
      <c r="D457" t="str">
        <f t="shared" si="15"/>
        <v>1.5</v>
      </c>
      <c r="E457" t="s">
        <v>26</v>
      </c>
      <c r="F457">
        <v>198501</v>
      </c>
      <c r="G457">
        <v>199012</v>
      </c>
      <c r="H457">
        <v>63</v>
      </c>
      <c r="I457">
        <v>85</v>
      </c>
      <c r="J457">
        <v>1488</v>
      </c>
      <c r="K457">
        <v>3963914</v>
      </c>
      <c r="L457" t="s">
        <v>27</v>
      </c>
      <c r="M457" t="str">
        <f>"H10210"</f>
        <v>H10210</v>
      </c>
      <c r="N457" t="str">
        <f>"H102-10"</f>
        <v>H102-10</v>
      </c>
      <c r="O457" t="str">
        <f>""</f>
        <v/>
      </c>
      <c r="P457" t="s">
        <v>1073</v>
      </c>
      <c r="Q457" t="str">
        <f>"8718993209769"</f>
        <v>8718993209769</v>
      </c>
      <c r="R457" t="s">
        <v>1074</v>
      </c>
      <c r="S457" t="s">
        <v>1075</v>
      </c>
      <c r="T457" s="1" t="s">
        <v>1079</v>
      </c>
      <c r="U457">
        <v>830</v>
      </c>
      <c r="V457" t="s">
        <v>1073</v>
      </c>
      <c r="W457" t="s">
        <v>1077</v>
      </c>
      <c r="X457" t="s">
        <v>626</v>
      </c>
      <c r="Y457" t="s">
        <v>1078</v>
      </c>
    </row>
    <row r="458" spans="1:25">
      <c r="A458">
        <v>13527</v>
      </c>
      <c r="B458" t="s">
        <v>25</v>
      </c>
      <c r="C458" t="str">
        <f t="shared" si="14"/>
        <v>INTEGRA Saloon</v>
      </c>
      <c r="D458" t="str">
        <f t="shared" si="15"/>
        <v>1.5</v>
      </c>
      <c r="E458" t="s">
        <v>26</v>
      </c>
      <c r="F458">
        <v>198501</v>
      </c>
      <c r="G458">
        <v>199012</v>
      </c>
      <c r="H458">
        <v>63</v>
      </c>
      <c r="I458">
        <v>85</v>
      </c>
      <c r="J458">
        <v>1488</v>
      </c>
      <c r="K458">
        <v>702218</v>
      </c>
      <c r="L458" t="s">
        <v>1080</v>
      </c>
      <c r="M458" t="str">
        <f>"333903"</f>
        <v>333903</v>
      </c>
      <c r="N458" t="str">
        <f>"333903"</f>
        <v>333903</v>
      </c>
      <c r="O458" t="str">
        <f>""</f>
        <v/>
      </c>
      <c r="P458" t="s">
        <v>1081</v>
      </c>
      <c r="Q458" t="str">
        <f>""</f>
        <v/>
      </c>
      <c r="R458" t="s">
        <v>1082</v>
      </c>
      <c r="S458" t="s">
        <v>221</v>
      </c>
      <c r="T458" t="s">
        <v>1083</v>
      </c>
      <c r="U458">
        <v>854</v>
      </c>
      <c r="V458" t="s">
        <v>1081</v>
      </c>
      <c r="W458" t="s">
        <v>1084</v>
      </c>
      <c r="X458" t="s">
        <v>1085</v>
      </c>
    </row>
    <row r="459" spans="1:25">
      <c r="A459">
        <v>13527</v>
      </c>
      <c r="B459" t="s">
        <v>25</v>
      </c>
      <c r="C459" t="str">
        <f t="shared" si="14"/>
        <v>INTEGRA Saloon</v>
      </c>
      <c r="D459" t="str">
        <f t="shared" si="15"/>
        <v>1.5</v>
      </c>
      <c r="E459" t="s">
        <v>26</v>
      </c>
      <c r="F459">
        <v>198501</v>
      </c>
      <c r="G459">
        <v>199012</v>
      </c>
      <c r="H459">
        <v>63</v>
      </c>
      <c r="I459">
        <v>85</v>
      </c>
      <c r="J459">
        <v>1488</v>
      </c>
      <c r="K459">
        <v>709200</v>
      </c>
      <c r="L459" t="s">
        <v>1080</v>
      </c>
      <c r="M459" t="str">
        <f>"103902"</f>
        <v>103902</v>
      </c>
      <c r="N459" t="str">
        <f>"103902"</f>
        <v>103902</v>
      </c>
      <c r="O459" t="str">
        <f>""</f>
        <v/>
      </c>
      <c r="P459" t="s">
        <v>1081</v>
      </c>
      <c r="Q459" t="str">
        <f>""</f>
        <v/>
      </c>
      <c r="R459" t="s">
        <v>1086</v>
      </c>
      <c r="S459" t="s">
        <v>310</v>
      </c>
      <c r="T459" t="s">
        <v>1087</v>
      </c>
      <c r="U459">
        <v>854</v>
      </c>
      <c r="V459" t="s">
        <v>1081</v>
      </c>
      <c r="W459" t="s">
        <v>1084</v>
      </c>
      <c r="X459" t="s">
        <v>1085</v>
      </c>
    </row>
    <row r="460" spans="1:25">
      <c r="A460">
        <v>13527</v>
      </c>
      <c r="B460" t="s">
        <v>25</v>
      </c>
      <c r="C460" t="str">
        <f t="shared" si="14"/>
        <v>INTEGRA Saloon</v>
      </c>
      <c r="D460" t="str">
        <f t="shared" si="15"/>
        <v>1.5</v>
      </c>
      <c r="E460" t="s">
        <v>26</v>
      </c>
      <c r="F460">
        <v>198501</v>
      </c>
      <c r="G460">
        <v>199012</v>
      </c>
      <c r="H460">
        <v>63</v>
      </c>
      <c r="I460">
        <v>85</v>
      </c>
      <c r="J460">
        <v>1488</v>
      </c>
      <c r="K460">
        <v>709201</v>
      </c>
      <c r="L460" t="s">
        <v>1080</v>
      </c>
      <c r="M460" t="str">
        <f>"103903"</f>
        <v>103903</v>
      </c>
      <c r="N460" t="str">
        <f>"103903"</f>
        <v>103903</v>
      </c>
      <c r="O460" t="str">
        <f>""</f>
        <v/>
      </c>
      <c r="P460" t="s">
        <v>1081</v>
      </c>
      <c r="Q460" t="str">
        <f>""</f>
        <v/>
      </c>
      <c r="R460" t="s">
        <v>1088</v>
      </c>
      <c r="S460" t="s">
        <v>221</v>
      </c>
      <c r="T460" t="s">
        <v>1089</v>
      </c>
      <c r="U460">
        <v>854</v>
      </c>
      <c r="V460" t="s">
        <v>1081</v>
      </c>
      <c r="W460" t="s">
        <v>1084</v>
      </c>
      <c r="X460" t="s">
        <v>1085</v>
      </c>
    </row>
    <row r="461" spans="1:25">
      <c r="A461">
        <v>13527</v>
      </c>
      <c r="B461" t="s">
        <v>25</v>
      </c>
      <c r="C461" t="str">
        <f t="shared" si="14"/>
        <v>INTEGRA Saloon</v>
      </c>
      <c r="D461" t="str">
        <f t="shared" si="15"/>
        <v>1.5</v>
      </c>
      <c r="E461" t="s">
        <v>26</v>
      </c>
      <c r="F461">
        <v>198501</v>
      </c>
      <c r="G461">
        <v>199012</v>
      </c>
      <c r="H461">
        <v>63</v>
      </c>
      <c r="I461">
        <v>85</v>
      </c>
      <c r="J461">
        <v>1488</v>
      </c>
      <c r="K461">
        <v>1221342</v>
      </c>
      <c r="L461" t="s">
        <v>1090</v>
      </c>
      <c r="M461" t="str">
        <f>"80411200SPORT"</f>
        <v>80411200SPORT</v>
      </c>
      <c r="N461" t="str">
        <f>"8041-1200SPORT"</f>
        <v>8041-1200SPORT</v>
      </c>
      <c r="O461" t="str">
        <f>""</f>
        <v/>
      </c>
      <c r="P461" t="s">
        <v>1081</v>
      </c>
      <c r="Q461" t="str">
        <f>""</f>
        <v/>
      </c>
      <c r="S461" t="s">
        <v>1091</v>
      </c>
      <c r="U461">
        <v>854</v>
      </c>
      <c r="V461" t="s">
        <v>1081</v>
      </c>
      <c r="W461" t="s">
        <v>1084</v>
      </c>
      <c r="X461" t="s">
        <v>1085</v>
      </c>
    </row>
    <row r="462" spans="1:25">
      <c r="A462">
        <v>13527</v>
      </c>
      <c r="B462" t="s">
        <v>25</v>
      </c>
      <c r="C462" t="str">
        <f t="shared" si="14"/>
        <v>INTEGRA Saloon</v>
      </c>
      <c r="D462" t="str">
        <f t="shared" si="15"/>
        <v>1.5</v>
      </c>
      <c r="E462" t="s">
        <v>26</v>
      </c>
      <c r="F462">
        <v>198501</v>
      </c>
      <c r="G462">
        <v>199012</v>
      </c>
      <c r="H462">
        <v>63</v>
      </c>
      <c r="I462">
        <v>85</v>
      </c>
      <c r="J462">
        <v>1488</v>
      </c>
      <c r="K462">
        <v>1221343</v>
      </c>
      <c r="L462" t="s">
        <v>1090</v>
      </c>
      <c r="M462" t="str">
        <f>"80411201SPORT"</f>
        <v>80411201SPORT</v>
      </c>
      <c r="N462" t="str">
        <f>"8041-1201SPORT"</f>
        <v>8041-1201SPORT</v>
      </c>
      <c r="O462" t="str">
        <f>""</f>
        <v/>
      </c>
      <c r="P462" t="s">
        <v>1081</v>
      </c>
      <c r="Q462" t="str">
        <f>""</f>
        <v/>
      </c>
      <c r="S462" t="s">
        <v>1092</v>
      </c>
      <c r="U462">
        <v>854</v>
      </c>
      <c r="V462" t="s">
        <v>1081</v>
      </c>
      <c r="W462" t="s">
        <v>1084</v>
      </c>
      <c r="X462" t="s">
        <v>1085</v>
      </c>
    </row>
    <row r="463" spans="1:25">
      <c r="A463">
        <v>13527</v>
      </c>
      <c r="B463" t="s">
        <v>25</v>
      </c>
      <c r="C463" t="str">
        <f t="shared" si="14"/>
        <v>INTEGRA Saloon</v>
      </c>
      <c r="D463" t="str">
        <f t="shared" si="15"/>
        <v>1.5</v>
      </c>
      <c r="E463" t="s">
        <v>26</v>
      </c>
      <c r="F463">
        <v>198501</v>
      </c>
      <c r="G463">
        <v>199012</v>
      </c>
      <c r="H463">
        <v>63</v>
      </c>
      <c r="I463">
        <v>85</v>
      </c>
      <c r="J463">
        <v>1488</v>
      </c>
      <c r="K463">
        <v>1610141</v>
      </c>
      <c r="L463" t="s">
        <v>1093</v>
      </c>
      <c r="M463" t="str">
        <f>"11072"</f>
        <v>11072</v>
      </c>
      <c r="N463" t="str">
        <f>"11072"</f>
        <v>11072</v>
      </c>
      <c r="O463" t="str">
        <f>""</f>
        <v/>
      </c>
      <c r="P463" t="s">
        <v>1081</v>
      </c>
      <c r="Q463" t="str">
        <f>"5412096053474"</f>
        <v>5412096053474</v>
      </c>
      <c r="R463" t="s">
        <v>1094</v>
      </c>
      <c r="S463" t="s">
        <v>1095</v>
      </c>
      <c r="T463" s="1" t="s">
        <v>1096</v>
      </c>
      <c r="U463">
        <v>854</v>
      </c>
      <c r="V463" t="s">
        <v>1081</v>
      </c>
      <c r="W463" t="s">
        <v>1084</v>
      </c>
      <c r="X463" t="s">
        <v>1085</v>
      </c>
    </row>
    <row r="464" spans="1:25">
      <c r="A464">
        <v>13527</v>
      </c>
      <c r="B464" t="s">
        <v>25</v>
      </c>
      <c r="C464" t="str">
        <f t="shared" si="14"/>
        <v>INTEGRA Saloon</v>
      </c>
      <c r="D464" t="str">
        <f t="shared" si="15"/>
        <v>1.5</v>
      </c>
      <c r="E464" t="s">
        <v>26</v>
      </c>
      <c r="F464">
        <v>198501</v>
      </c>
      <c r="G464">
        <v>199012</v>
      </c>
      <c r="H464">
        <v>63</v>
      </c>
      <c r="I464">
        <v>85</v>
      </c>
      <c r="J464">
        <v>1488</v>
      </c>
      <c r="K464">
        <v>1623484</v>
      </c>
      <c r="L464" t="s">
        <v>1093</v>
      </c>
      <c r="M464" t="str">
        <f>"R3729"</f>
        <v>R3729</v>
      </c>
      <c r="N464" t="str">
        <f>"R3729"</f>
        <v>R3729</v>
      </c>
      <c r="O464" t="str">
        <f>""</f>
        <v/>
      </c>
      <c r="P464" t="s">
        <v>1081</v>
      </c>
      <c r="Q464" t="str">
        <f>"5412096135293"</f>
        <v>5412096135293</v>
      </c>
      <c r="R464" t="s">
        <v>1097</v>
      </c>
      <c r="S464" t="s">
        <v>675</v>
      </c>
      <c r="T464" s="1" t="s">
        <v>1098</v>
      </c>
      <c r="U464">
        <v>854</v>
      </c>
      <c r="V464" t="s">
        <v>1081</v>
      </c>
      <c r="W464" t="s">
        <v>1084</v>
      </c>
      <c r="X464" t="s">
        <v>1085</v>
      </c>
    </row>
    <row r="465" spans="1:25">
      <c r="A465">
        <v>13527</v>
      </c>
      <c r="B465" t="s">
        <v>25</v>
      </c>
      <c r="C465" t="str">
        <f t="shared" si="14"/>
        <v>INTEGRA Saloon</v>
      </c>
      <c r="D465" t="str">
        <f t="shared" si="15"/>
        <v>1.5</v>
      </c>
      <c r="E465" t="s">
        <v>26</v>
      </c>
      <c r="F465">
        <v>198501</v>
      </c>
      <c r="G465">
        <v>199012</v>
      </c>
      <c r="H465">
        <v>63</v>
      </c>
      <c r="I465">
        <v>85</v>
      </c>
      <c r="J465">
        <v>1488</v>
      </c>
      <c r="K465">
        <v>1610053</v>
      </c>
      <c r="L465" t="s">
        <v>1099</v>
      </c>
      <c r="M465" t="str">
        <f>"9901149"</f>
        <v>9901149</v>
      </c>
      <c r="N465" t="str">
        <f>"9901149"</f>
        <v>9901149</v>
      </c>
      <c r="O465" t="str">
        <f>"111590"</f>
        <v>111590</v>
      </c>
      <c r="P465" t="s">
        <v>1100</v>
      </c>
      <c r="Q465" t="str">
        <f>"5410909419929"</f>
        <v>5410909419929</v>
      </c>
      <c r="R465" s="1" t="s">
        <v>1101</v>
      </c>
      <c r="T465" t="s">
        <v>1102</v>
      </c>
      <c r="U465">
        <v>901</v>
      </c>
      <c r="V465" t="s">
        <v>1103</v>
      </c>
      <c r="W465" t="s">
        <v>1104</v>
      </c>
      <c r="X465" t="s">
        <v>486</v>
      </c>
    </row>
    <row r="466" spans="1:25">
      <c r="A466">
        <v>13527</v>
      </c>
      <c r="B466" t="s">
        <v>25</v>
      </c>
      <c r="C466" t="str">
        <f t="shared" si="14"/>
        <v>INTEGRA Saloon</v>
      </c>
      <c r="D466" t="str">
        <f t="shared" si="15"/>
        <v>1.5</v>
      </c>
      <c r="E466" t="s">
        <v>26</v>
      </c>
      <c r="F466">
        <v>198501</v>
      </c>
      <c r="G466">
        <v>199012</v>
      </c>
      <c r="H466">
        <v>63</v>
      </c>
      <c r="I466">
        <v>85</v>
      </c>
      <c r="J466">
        <v>1488</v>
      </c>
      <c r="K466">
        <v>2622064</v>
      </c>
      <c r="L466" t="s">
        <v>377</v>
      </c>
      <c r="M466" t="str">
        <f>"JTE224"</f>
        <v>JTE224</v>
      </c>
      <c r="N466" t="str">
        <f>"JTE224"</f>
        <v>JTE224</v>
      </c>
      <c r="O466" t="str">
        <f>""</f>
        <v/>
      </c>
      <c r="P466" t="s">
        <v>1105</v>
      </c>
      <c r="Q466" t="str">
        <f>"3322937905812"</f>
        <v>3322937905812</v>
      </c>
      <c r="R466" t="s">
        <v>1106</v>
      </c>
      <c r="S466" t="s">
        <v>1107</v>
      </c>
      <c r="T466" s="1" t="s">
        <v>1108</v>
      </c>
      <c r="U466">
        <v>914</v>
      </c>
      <c r="V466" t="s">
        <v>1105</v>
      </c>
      <c r="W466" t="s">
        <v>210</v>
      </c>
      <c r="X466" t="s">
        <v>211</v>
      </c>
      <c r="Y466" t="s">
        <v>1105</v>
      </c>
    </row>
    <row r="467" spans="1:25">
      <c r="A467">
        <v>13527</v>
      </c>
      <c r="B467" t="s">
        <v>25</v>
      </c>
      <c r="C467" t="str">
        <f t="shared" si="14"/>
        <v>INTEGRA Saloon</v>
      </c>
      <c r="D467" t="str">
        <f t="shared" si="15"/>
        <v>1.5</v>
      </c>
      <c r="E467" t="s">
        <v>26</v>
      </c>
      <c r="F467">
        <v>198501</v>
      </c>
      <c r="G467">
        <v>199012</v>
      </c>
      <c r="H467">
        <v>63</v>
      </c>
      <c r="I467">
        <v>85</v>
      </c>
      <c r="J467">
        <v>1488</v>
      </c>
      <c r="K467">
        <v>3032093</v>
      </c>
      <c r="L467" t="s">
        <v>33</v>
      </c>
      <c r="M467" t="str">
        <f>"J4824000"</f>
        <v>J4824000</v>
      </c>
      <c r="N467" t="str">
        <f>"J4824000"</f>
        <v>J4824000</v>
      </c>
      <c r="O467" t="str">
        <f>""</f>
        <v/>
      </c>
      <c r="P467" t="s">
        <v>1105</v>
      </c>
      <c r="Q467" t="str">
        <f>"8711768064266"</f>
        <v>8711768064266</v>
      </c>
      <c r="R467" t="s">
        <v>1109</v>
      </c>
      <c r="S467" t="s">
        <v>1110</v>
      </c>
      <c r="T467" s="1" t="s">
        <v>1111</v>
      </c>
      <c r="U467">
        <v>914</v>
      </c>
      <c r="V467" t="s">
        <v>1105</v>
      </c>
      <c r="W467" t="s">
        <v>210</v>
      </c>
      <c r="X467" t="s">
        <v>211</v>
      </c>
      <c r="Y467" t="s">
        <v>1105</v>
      </c>
    </row>
    <row r="468" spans="1:25">
      <c r="A468">
        <v>13527</v>
      </c>
      <c r="B468" t="s">
        <v>25</v>
      </c>
      <c r="C468" t="str">
        <f t="shared" si="14"/>
        <v>INTEGRA Saloon</v>
      </c>
      <c r="D468" t="str">
        <f t="shared" si="15"/>
        <v>1.5</v>
      </c>
      <c r="E468" t="s">
        <v>26</v>
      </c>
      <c r="F468">
        <v>198501</v>
      </c>
      <c r="G468">
        <v>199012</v>
      </c>
      <c r="H468">
        <v>63</v>
      </c>
      <c r="I468">
        <v>85</v>
      </c>
      <c r="J468">
        <v>1488</v>
      </c>
      <c r="K468">
        <v>3800739</v>
      </c>
      <c r="L468" t="s">
        <v>1112</v>
      </c>
      <c r="M468" t="str">
        <f>"FTR4078"</f>
        <v>FTR4078</v>
      </c>
      <c r="N468" t="str">
        <f>"FTR4078"</f>
        <v>FTR4078</v>
      </c>
      <c r="O468" t="str">
        <f>""</f>
        <v/>
      </c>
      <c r="P468" t="s">
        <v>1105</v>
      </c>
      <c r="Q468" t="str">
        <f>""</f>
        <v/>
      </c>
      <c r="R468" t="s">
        <v>1113</v>
      </c>
      <c r="S468" t="s">
        <v>1114</v>
      </c>
      <c r="T468" s="1" t="s">
        <v>1115</v>
      </c>
      <c r="U468">
        <v>914</v>
      </c>
      <c r="V468" t="s">
        <v>1105</v>
      </c>
      <c r="W468" t="s">
        <v>210</v>
      </c>
      <c r="X468" t="s">
        <v>211</v>
      </c>
      <c r="Y468" t="s">
        <v>1105</v>
      </c>
    </row>
    <row r="469" spans="1:25">
      <c r="A469">
        <v>13527</v>
      </c>
      <c r="B469" t="s">
        <v>25</v>
      </c>
      <c r="C469" t="str">
        <f t="shared" si="14"/>
        <v>INTEGRA Saloon</v>
      </c>
      <c r="D469" t="str">
        <f t="shared" si="15"/>
        <v>1.5</v>
      </c>
      <c r="E469" t="s">
        <v>26</v>
      </c>
      <c r="F469">
        <v>198501</v>
      </c>
      <c r="G469">
        <v>199012</v>
      </c>
      <c r="H469">
        <v>63</v>
      </c>
      <c r="I469">
        <v>85</v>
      </c>
      <c r="J469">
        <v>1488</v>
      </c>
      <c r="K469">
        <v>3964792</v>
      </c>
      <c r="L469" t="s">
        <v>27</v>
      </c>
      <c r="M469" t="str">
        <f>"H58915"</f>
        <v>H58915</v>
      </c>
      <c r="N469" t="str">
        <f>"H589-15"</f>
        <v>H589-15</v>
      </c>
      <c r="O469" t="str">
        <f>""</f>
        <v/>
      </c>
      <c r="P469" t="s">
        <v>1105</v>
      </c>
      <c r="Q469" t="str">
        <f>"8718993219737"</f>
        <v>8718993219737</v>
      </c>
      <c r="R469" t="s">
        <v>1116</v>
      </c>
      <c r="S469" t="s">
        <v>1117</v>
      </c>
      <c r="T469" s="1" t="s">
        <v>1118</v>
      </c>
      <c r="U469">
        <v>914</v>
      </c>
      <c r="V469" t="s">
        <v>1105</v>
      </c>
      <c r="W469" t="s">
        <v>210</v>
      </c>
      <c r="X469" t="s">
        <v>211</v>
      </c>
      <c r="Y469" t="s">
        <v>1105</v>
      </c>
    </row>
    <row r="470" spans="1:25">
      <c r="A470">
        <v>13527</v>
      </c>
      <c r="B470" t="s">
        <v>25</v>
      </c>
      <c r="C470" t="str">
        <f t="shared" si="14"/>
        <v>INTEGRA Saloon</v>
      </c>
      <c r="D470" t="str">
        <f t="shared" si="15"/>
        <v>1.5</v>
      </c>
      <c r="E470" t="s">
        <v>26</v>
      </c>
      <c r="F470">
        <v>198501</v>
      </c>
      <c r="G470">
        <v>199012</v>
      </c>
      <c r="H470">
        <v>63</v>
      </c>
      <c r="I470">
        <v>85</v>
      </c>
      <c r="J470">
        <v>1488</v>
      </c>
      <c r="K470">
        <v>4117175</v>
      </c>
      <c r="L470" t="s">
        <v>1119</v>
      </c>
      <c r="M470" t="str">
        <f>"BTR4078"</f>
        <v>BTR4078</v>
      </c>
      <c r="N470" t="str">
        <f>"BTR4078"</f>
        <v>BTR4078</v>
      </c>
      <c r="O470" t="str">
        <f>""</f>
        <v/>
      </c>
      <c r="P470" t="s">
        <v>1105</v>
      </c>
      <c r="Q470" t="str">
        <f>""</f>
        <v/>
      </c>
      <c r="R470" t="s">
        <v>1113</v>
      </c>
      <c r="S470" t="s">
        <v>1114</v>
      </c>
      <c r="T470" s="1" t="s">
        <v>1115</v>
      </c>
      <c r="U470">
        <v>914</v>
      </c>
      <c r="V470" t="s">
        <v>1105</v>
      </c>
      <c r="W470" t="s">
        <v>210</v>
      </c>
      <c r="X470" t="s">
        <v>211</v>
      </c>
      <c r="Y470" t="s">
        <v>1105</v>
      </c>
    </row>
    <row r="471" spans="1:25">
      <c r="A471">
        <v>13527</v>
      </c>
      <c r="B471" t="s">
        <v>25</v>
      </c>
      <c r="C471" t="str">
        <f t="shared" si="14"/>
        <v>INTEGRA Saloon</v>
      </c>
      <c r="D471" t="str">
        <f t="shared" si="15"/>
        <v>1.5</v>
      </c>
      <c r="E471" t="s">
        <v>26</v>
      </c>
      <c r="F471">
        <v>198501</v>
      </c>
      <c r="G471">
        <v>199012</v>
      </c>
      <c r="H471">
        <v>63</v>
      </c>
      <c r="I471">
        <v>85</v>
      </c>
      <c r="J471">
        <v>1488</v>
      </c>
      <c r="K471">
        <v>4193922</v>
      </c>
      <c r="L471" t="s">
        <v>314</v>
      </c>
      <c r="M471" t="str">
        <f>"22012"</f>
        <v>22012</v>
      </c>
      <c r="N471" t="str">
        <f>"22012"</f>
        <v>22012</v>
      </c>
      <c r="O471" t="str">
        <f>""</f>
        <v/>
      </c>
      <c r="P471" t="s">
        <v>1105</v>
      </c>
      <c r="Q471" t="str">
        <f>""</f>
        <v/>
      </c>
      <c r="R471" t="s">
        <v>1120</v>
      </c>
      <c r="S471" t="s">
        <v>1107</v>
      </c>
      <c r="T471" t="s">
        <v>1121</v>
      </c>
      <c r="U471">
        <v>914</v>
      </c>
      <c r="V471" t="s">
        <v>1105</v>
      </c>
      <c r="W471" t="s">
        <v>210</v>
      </c>
      <c r="X471" t="s">
        <v>211</v>
      </c>
      <c r="Y471" t="s">
        <v>1105</v>
      </c>
    </row>
    <row r="472" spans="1:25">
      <c r="A472">
        <v>13527</v>
      </c>
      <c r="B472" t="s">
        <v>25</v>
      </c>
      <c r="C472" t="str">
        <f t="shared" si="14"/>
        <v>INTEGRA Saloon</v>
      </c>
      <c r="D472" t="str">
        <f t="shared" si="15"/>
        <v>1.5</v>
      </c>
      <c r="E472" t="s">
        <v>26</v>
      </c>
      <c r="F472">
        <v>198501</v>
      </c>
      <c r="G472">
        <v>199012</v>
      </c>
      <c r="H472">
        <v>63</v>
      </c>
      <c r="I472">
        <v>85</v>
      </c>
      <c r="J472">
        <v>1488</v>
      </c>
      <c r="K472">
        <v>3034994</v>
      </c>
      <c r="L472" t="s">
        <v>33</v>
      </c>
      <c r="M472" t="str">
        <f>"J5654000"</f>
        <v>J5654000</v>
      </c>
      <c r="N472" t="str">
        <f>"J5654000"</f>
        <v>J5654000</v>
      </c>
      <c r="O472" t="str">
        <f>""</f>
        <v/>
      </c>
      <c r="P472" t="s">
        <v>1122</v>
      </c>
      <c r="Q472" t="str">
        <f>"8711768075880"</f>
        <v>8711768075880</v>
      </c>
      <c r="R472" t="s">
        <v>1123</v>
      </c>
      <c r="T472" t="s">
        <v>1124</v>
      </c>
      <c r="U472">
        <v>1103</v>
      </c>
      <c r="V472" t="s">
        <v>1122</v>
      </c>
      <c r="W472" t="s">
        <v>1069</v>
      </c>
      <c r="X472" t="s">
        <v>626</v>
      </c>
      <c r="Y472" t="s">
        <v>950</v>
      </c>
    </row>
    <row r="473" spans="1:25">
      <c r="A473">
        <v>13527</v>
      </c>
      <c r="B473" t="s">
        <v>25</v>
      </c>
      <c r="C473" t="str">
        <f t="shared" si="14"/>
        <v>INTEGRA Saloon</v>
      </c>
      <c r="D473" t="str">
        <f t="shared" si="15"/>
        <v>1.5</v>
      </c>
      <c r="E473" t="s">
        <v>26</v>
      </c>
      <c r="F473">
        <v>198501</v>
      </c>
      <c r="G473">
        <v>199012</v>
      </c>
      <c r="H473">
        <v>63</v>
      </c>
      <c r="I473">
        <v>85</v>
      </c>
      <c r="J473">
        <v>1488</v>
      </c>
      <c r="K473">
        <v>3963911</v>
      </c>
      <c r="L473" t="s">
        <v>27</v>
      </c>
      <c r="M473" t="str">
        <f>"H10101"</f>
        <v>H10101</v>
      </c>
      <c r="N473" t="str">
        <f>"H101-01"</f>
        <v>H101-01</v>
      </c>
      <c r="O473" t="str">
        <f>""</f>
        <v/>
      </c>
      <c r="P473" t="s">
        <v>1122</v>
      </c>
      <c r="Q473" t="str">
        <f>"8718993209721"</f>
        <v>8718993209721</v>
      </c>
      <c r="R473" t="s">
        <v>1125</v>
      </c>
      <c r="T473" s="1" t="s">
        <v>1126</v>
      </c>
      <c r="U473">
        <v>1103</v>
      </c>
      <c r="V473" t="s">
        <v>1122</v>
      </c>
      <c r="W473" t="s">
        <v>1069</v>
      </c>
      <c r="X473" t="s">
        <v>626</v>
      </c>
      <c r="Y473" t="s">
        <v>950</v>
      </c>
    </row>
    <row r="474" spans="1:25">
      <c r="A474">
        <v>13527</v>
      </c>
      <c r="B474" t="s">
        <v>25</v>
      </c>
      <c r="C474" t="str">
        <f t="shared" si="14"/>
        <v>INTEGRA Saloon</v>
      </c>
      <c r="D474" t="str">
        <f t="shared" si="15"/>
        <v>1.5</v>
      </c>
      <c r="E474" t="s">
        <v>26</v>
      </c>
      <c r="F474">
        <v>198501</v>
      </c>
      <c r="G474">
        <v>199012</v>
      </c>
      <c r="H474">
        <v>63</v>
      </c>
      <c r="I474">
        <v>85</v>
      </c>
      <c r="J474">
        <v>1488</v>
      </c>
      <c r="K474">
        <v>472977</v>
      </c>
      <c r="L474" t="s">
        <v>746</v>
      </c>
      <c r="M474" t="str">
        <f>"MBA1090"</f>
        <v>MBA1090</v>
      </c>
      <c r="N474" t="str">
        <f>"MBA1090"</f>
        <v>MBA1090</v>
      </c>
      <c r="O474" t="str">
        <f>"97200 0484"</f>
        <v>97200 0484</v>
      </c>
      <c r="P474" t="s">
        <v>1127</v>
      </c>
      <c r="Q474" t="str">
        <f>"5706021006452"</f>
        <v>5706021006452</v>
      </c>
      <c r="R474" t="s">
        <v>1128</v>
      </c>
      <c r="S474" t="s">
        <v>310</v>
      </c>
      <c r="T474" t="s">
        <v>1129</v>
      </c>
      <c r="U474">
        <v>1164</v>
      </c>
      <c r="V474" t="s">
        <v>1127</v>
      </c>
      <c r="W474" t="s">
        <v>1130</v>
      </c>
      <c r="X474" t="s">
        <v>224</v>
      </c>
      <c r="Y474" t="s">
        <v>1131</v>
      </c>
    </row>
    <row r="475" spans="1:25">
      <c r="A475">
        <v>13527</v>
      </c>
      <c r="B475" t="s">
        <v>25</v>
      </c>
      <c r="C475" t="str">
        <f t="shared" si="14"/>
        <v>INTEGRA Saloon</v>
      </c>
      <c r="D475" t="str">
        <f t="shared" si="15"/>
        <v>1.5</v>
      </c>
      <c r="E475" t="s">
        <v>26</v>
      </c>
      <c r="F475">
        <v>198501</v>
      </c>
      <c r="G475">
        <v>199012</v>
      </c>
      <c r="H475">
        <v>63</v>
      </c>
      <c r="I475">
        <v>85</v>
      </c>
      <c r="J475">
        <v>1488</v>
      </c>
      <c r="K475">
        <v>2624540</v>
      </c>
      <c r="L475" t="s">
        <v>377</v>
      </c>
      <c r="M475" t="str">
        <f>"PFK239"</f>
        <v>PFK239</v>
      </c>
      <c r="N475" t="str">
        <f>"PFK239"</f>
        <v>PFK239</v>
      </c>
      <c r="O475" t="str">
        <f>""</f>
        <v/>
      </c>
      <c r="P475" t="s">
        <v>1127</v>
      </c>
      <c r="Q475" t="str">
        <f>"3322937106370"</f>
        <v>3322937106370</v>
      </c>
      <c r="R475" t="s">
        <v>1132</v>
      </c>
      <c r="S475" t="s">
        <v>316</v>
      </c>
      <c r="T475" t="s">
        <v>1133</v>
      </c>
      <c r="U475">
        <v>1164</v>
      </c>
      <c r="V475" t="s">
        <v>1127</v>
      </c>
      <c r="W475" t="s">
        <v>1130</v>
      </c>
      <c r="X475" t="s">
        <v>224</v>
      </c>
      <c r="Y475" t="s">
        <v>1131</v>
      </c>
    </row>
    <row r="476" spans="1:25">
      <c r="A476">
        <v>13527</v>
      </c>
      <c r="B476" t="s">
        <v>25</v>
      </c>
      <c r="C476" t="str">
        <f t="shared" si="14"/>
        <v>INTEGRA Saloon</v>
      </c>
      <c r="D476" t="str">
        <f t="shared" si="15"/>
        <v>1.5</v>
      </c>
      <c r="E476" t="s">
        <v>26</v>
      </c>
      <c r="F476">
        <v>198501</v>
      </c>
      <c r="G476">
        <v>199012</v>
      </c>
      <c r="H476">
        <v>63</v>
      </c>
      <c r="I476">
        <v>85</v>
      </c>
      <c r="J476">
        <v>1488</v>
      </c>
      <c r="K476">
        <v>3027435</v>
      </c>
      <c r="L476" t="s">
        <v>33</v>
      </c>
      <c r="M476" t="str">
        <f>"J1514016"</f>
        <v>J1514016</v>
      </c>
      <c r="N476" t="str">
        <f>"J1514016"</f>
        <v>J1514016</v>
      </c>
      <c r="O476" t="str">
        <f>""</f>
        <v/>
      </c>
      <c r="P476" t="s">
        <v>1134</v>
      </c>
      <c r="Q476" t="str">
        <f>"8711768038007"</f>
        <v>8711768038007</v>
      </c>
      <c r="R476" t="s">
        <v>1135</v>
      </c>
      <c r="S476" t="s">
        <v>1136</v>
      </c>
      <c r="T476" t="s">
        <v>1137</v>
      </c>
      <c r="U476">
        <v>1260</v>
      </c>
      <c r="V476" t="s">
        <v>1134</v>
      </c>
      <c r="W476" t="s">
        <v>944</v>
      </c>
      <c r="X476" t="s">
        <v>626</v>
      </c>
      <c r="Y476" t="s">
        <v>1138</v>
      </c>
    </row>
    <row r="477" spans="1:25">
      <c r="A477">
        <v>13527</v>
      </c>
      <c r="B477" t="s">
        <v>25</v>
      </c>
      <c r="C477" t="str">
        <f t="shared" si="14"/>
        <v>INTEGRA Saloon</v>
      </c>
      <c r="D477" t="str">
        <f t="shared" si="15"/>
        <v>1.5</v>
      </c>
      <c r="E477" t="s">
        <v>26</v>
      </c>
      <c r="F477">
        <v>198501</v>
      </c>
      <c r="G477">
        <v>199012</v>
      </c>
      <c r="H477">
        <v>63</v>
      </c>
      <c r="I477">
        <v>85</v>
      </c>
      <c r="J477">
        <v>1488</v>
      </c>
      <c r="K477">
        <v>3963959</v>
      </c>
      <c r="L477" t="s">
        <v>27</v>
      </c>
      <c r="M477" t="str">
        <f>"H10809"</f>
        <v>H10809</v>
      </c>
      <c r="N477" t="str">
        <f>"H108-09"</f>
        <v>H108-09</v>
      </c>
      <c r="O477" t="str">
        <f>""</f>
        <v/>
      </c>
      <c r="P477" t="s">
        <v>1134</v>
      </c>
      <c r="Q477" t="str">
        <f>"8718993210314"</f>
        <v>8718993210314</v>
      </c>
      <c r="R477" t="s">
        <v>1139</v>
      </c>
      <c r="S477" t="s">
        <v>1136</v>
      </c>
      <c r="T477" s="1" t="s">
        <v>1140</v>
      </c>
      <c r="U477">
        <v>1260</v>
      </c>
      <c r="V477" t="s">
        <v>1134</v>
      </c>
      <c r="W477" t="s">
        <v>944</v>
      </c>
      <c r="X477" t="s">
        <v>626</v>
      </c>
      <c r="Y477" t="s">
        <v>1138</v>
      </c>
    </row>
    <row r="478" spans="1:25">
      <c r="A478">
        <v>13527</v>
      </c>
      <c r="B478" t="s">
        <v>25</v>
      </c>
      <c r="C478" t="str">
        <f t="shared" si="14"/>
        <v>INTEGRA Saloon</v>
      </c>
      <c r="D478" t="str">
        <f t="shared" si="15"/>
        <v>1.5</v>
      </c>
      <c r="E478" t="s">
        <v>26</v>
      </c>
      <c r="F478">
        <v>198501</v>
      </c>
      <c r="G478">
        <v>199012</v>
      </c>
      <c r="H478">
        <v>63</v>
      </c>
      <c r="I478">
        <v>85</v>
      </c>
      <c r="J478">
        <v>1488</v>
      </c>
      <c r="K478">
        <v>1096825</v>
      </c>
      <c r="L478" t="s">
        <v>318</v>
      </c>
      <c r="M478" t="str">
        <f>"03013790972"</f>
        <v>03013790972</v>
      </c>
      <c r="N478" t="str">
        <f>"03.0137-9097.2"</f>
        <v>03.0137-9097.2</v>
      </c>
      <c r="O478" t="str">
        <f>"669097"</f>
        <v>669097</v>
      </c>
      <c r="P478" t="s">
        <v>1141</v>
      </c>
      <c r="Q478" t="str">
        <f>"4006633119627"</f>
        <v>4006633119627</v>
      </c>
      <c r="S478" t="s">
        <v>1142</v>
      </c>
      <c r="T478" t="s">
        <v>1143</v>
      </c>
      <c r="U478">
        <v>1502</v>
      </c>
      <c r="V478" t="s">
        <v>1141</v>
      </c>
      <c r="W478" t="s">
        <v>1130</v>
      </c>
      <c r="X478" t="s">
        <v>224</v>
      </c>
      <c r="Y478" t="s">
        <v>1144</v>
      </c>
    </row>
    <row r="479" spans="1:25">
      <c r="A479">
        <v>13527</v>
      </c>
      <c r="B479" t="s">
        <v>25</v>
      </c>
      <c r="C479" t="str">
        <f t="shared" si="14"/>
        <v>INTEGRA Saloon</v>
      </c>
      <c r="D479" t="str">
        <f t="shared" si="15"/>
        <v>1.5</v>
      </c>
      <c r="E479" t="s">
        <v>26</v>
      </c>
      <c r="F479">
        <v>198501</v>
      </c>
      <c r="G479">
        <v>199012</v>
      </c>
      <c r="H479">
        <v>63</v>
      </c>
      <c r="I479">
        <v>85</v>
      </c>
      <c r="J479">
        <v>1488</v>
      </c>
      <c r="K479">
        <v>138024</v>
      </c>
      <c r="L479" t="s">
        <v>1093</v>
      </c>
      <c r="M479" t="str">
        <f>"AK216"</f>
        <v>AK216</v>
      </c>
      <c r="N479" t="str">
        <f>"AK216"</f>
        <v>AK216</v>
      </c>
      <c r="O479" t="str">
        <f>""</f>
        <v/>
      </c>
      <c r="P479" t="s">
        <v>1145</v>
      </c>
      <c r="Q479" t="str">
        <f>"5412096000362"</f>
        <v>5412096000362</v>
      </c>
      <c r="S479" t="s">
        <v>1146</v>
      </c>
      <c r="U479">
        <v>1593</v>
      </c>
      <c r="V479" t="s">
        <v>1145</v>
      </c>
      <c r="W479" t="s">
        <v>1147</v>
      </c>
      <c r="X479" t="s">
        <v>1085</v>
      </c>
      <c r="Y479" t="s">
        <v>1148</v>
      </c>
    </row>
    <row r="480" spans="1:25">
      <c r="A480">
        <v>13527</v>
      </c>
      <c r="B480" t="s">
        <v>25</v>
      </c>
      <c r="C480" t="str">
        <f t="shared" si="14"/>
        <v>INTEGRA Saloon</v>
      </c>
      <c r="D480" t="str">
        <f t="shared" si="15"/>
        <v>1.5</v>
      </c>
      <c r="E480" t="s">
        <v>26</v>
      </c>
      <c r="F480">
        <v>198501</v>
      </c>
      <c r="G480">
        <v>199012</v>
      </c>
      <c r="H480">
        <v>63</v>
      </c>
      <c r="I480">
        <v>85</v>
      </c>
      <c r="J480">
        <v>1488</v>
      </c>
      <c r="K480">
        <v>4531224</v>
      </c>
      <c r="L480" t="s">
        <v>59</v>
      </c>
      <c r="M480" t="str">
        <f>"26040008"</f>
        <v>26040008</v>
      </c>
      <c r="N480" t="str">
        <f>"26-040008"</f>
        <v>26-040008</v>
      </c>
      <c r="O480" t="str">
        <f>""</f>
        <v/>
      </c>
      <c r="P480" t="s">
        <v>1149</v>
      </c>
      <c r="Q480" t="str">
        <f>""</f>
        <v/>
      </c>
      <c r="R480" t="s">
        <v>1150</v>
      </c>
      <c r="S480" t="s">
        <v>64</v>
      </c>
      <c r="T480" t="s">
        <v>1151</v>
      </c>
      <c r="U480">
        <v>2254</v>
      </c>
      <c r="V480" t="s">
        <v>1149</v>
      </c>
      <c r="W480" t="s">
        <v>1152</v>
      </c>
      <c r="X480" t="s">
        <v>224</v>
      </c>
      <c r="Y480" t="s">
        <v>1153</v>
      </c>
    </row>
    <row r="481" spans="1:25">
      <c r="A481">
        <v>13527</v>
      </c>
      <c r="B481" t="s">
        <v>25</v>
      </c>
      <c r="C481" t="str">
        <f t="shared" si="14"/>
        <v>INTEGRA Saloon</v>
      </c>
      <c r="D481" t="str">
        <f t="shared" si="15"/>
        <v>1.5</v>
      </c>
      <c r="E481" t="s">
        <v>26</v>
      </c>
      <c r="F481">
        <v>198501</v>
      </c>
      <c r="G481">
        <v>199012</v>
      </c>
      <c r="H481">
        <v>63</v>
      </c>
      <c r="I481">
        <v>85</v>
      </c>
      <c r="J481">
        <v>1488</v>
      </c>
      <c r="K481">
        <v>3032566</v>
      </c>
      <c r="L481" t="s">
        <v>33</v>
      </c>
      <c r="M481" t="str">
        <f>"J4864000"</f>
        <v>J4864000</v>
      </c>
      <c r="N481" t="str">
        <f>"J4864000"</f>
        <v>J4864000</v>
      </c>
      <c r="O481" t="str">
        <f>""</f>
        <v/>
      </c>
      <c r="P481" t="s">
        <v>1154</v>
      </c>
      <c r="Q481" t="str">
        <f>"8711768066376"</f>
        <v>8711768066376</v>
      </c>
      <c r="S481" t="s">
        <v>1155</v>
      </c>
      <c r="T481" s="1" t="s">
        <v>1156</v>
      </c>
      <c r="U481">
        <v>2462</v>
      </c>
      <c r="V481" t="s">
        <v>1154</v>
      </c>
      <c r="W481" t="s">
        <v>210</v>
      </c>
      <c r="X481" t="s">
        <v>497</v>
      </c>
      <c r="Y481" t="s">
        <v>1154</v>
      </c>
    </row>
    <row r="482" spans="1:25">
      <c r="A482">
        <v>13527</v>
      </c>
      <c r="B482" t="s">
        <v>25</v>
      </c>
      <c r="C482" t="str">
        <f t="shared" si="14"/>
        <v>INTEGRA Saloon</v>
      </c>
      <c r="D482" t="str">
        <f t="shared" si="15"/>
        <v>1.5</v>
      </c>
      <c r="E482" t="s">
        <v>26</v>
      </c>
      <c r="F482">
        <v>198501</v>
      </c>
      <c r="G482">
        <v>199012</v>
      </c>
      <c r="H482">
        <v>63</v>
      </c>
      <c r="I482">
        <v>85</v>
      </c>
      <c r="J482">
        <v>1488</v>
      </c>
      <c r="K482">
        <v>3964698</v>
      </c>
      <c r="L482" t="s">
        <v>27</v>
      </c>
      <c r="M482" t="str">
        <f>"H57502"</f>
        <v>H57502</v>
      </c>
      <c r="N482" t="str">
        <f>"H575-02"</f>
        <v>H575-02</v>
      </c>
      <c r="O482" t="str">
        <f>""</f>
        <v/>
      </c>
      <c r="P482" t="s">
        <v>1154</v>
      </c>
      <c r="Q482" t="str">
        <f>"8718993218617"</f>
        <v>8718993218617</v>
      </c>
      <c r="R482" t="s">
        <v>1157</v>
      </c>
      <c r="T482" s="1" t="s">
        <v>1158</v>
      </c>
      <c r="U482">
        <v>2462</v>
      </c>
      <c r="V482" t="s">
        <v>1154</v>
      </c>
      <c r="W482" t="s">
        <v>210</v>
      </c>
      <c r="X482" t="s">
        <v>497</v>
      </c>
      <c r="Y482" t="s">
        <v>1154</v>
      </c>
    </row>
    <row r="483" spans="1:25">
      <c r="A483">
        <v>13527</v>
      </c>
      <c r="B483" t="s">
        <v>25</v>
      </c>
      <c r="C483" t="str">
        <f t="shared" si="14"/>
        <v>INTEGRA Saloon</v>
      </c>
      <c r="D483" t="str">
        <f t="shared" si="15"/>
        <v>1.5</v>
      </c>
      <c r="E483" t="s">
        <v>26</v>
      </c>
      <c r="F483">
        <v>198501</v>
      </c>
      <c r="G483">
        <v>199012</v>
      </c>
      <c r="H483">
        <v>63</v>
      </c>
      <c r="I483">
        <v>85</v>
      </c>
      <c r="J483">
        <v>1488</v>
      </c>
      <c r="K483">
        <v>801777</v>
      </c>
      <c r="L483" t="s">
        <v>231</v>
      </c>
      <c r="M483" t="str">
        <f>"A02602"</f>
        <v>A02602</v>
      </c>
      <c r="N483" t="str">
        <f>"A 02 602"</f>
        <v>A 02 602</v>
      </c>
      <c r="O483" t="str">
        <f>""</f>
        <v/>
      </c>
      <c r="P483" t="s">
        <v>1159</v>
      </c>
      <c r="Q483" t="str">
        <f>"8020584109076"</f>
        <v>8020584109076</v>
      </c>
      <c r="S483" t="s">
        <v>221</v>
      </c>
      <c r="U483">
        <v>2513</v>
      </c>
      <c r="V483" t="s">
        <v>1159</v>
      </c>
      <c r="W483" t="s">
        <v>1130</v>
      </c>
      <c r="X483" t="s">
        <v>224</v>
      </c>
      <c r="Y483" t="s">
        <v>261</v>
      </c>
    </row>
    <row r="484" spans="1:25">
      <c r="A484">
        <v>13527</v>
      </c>
      <c r="B484" t="s">
        <v>25</v>
      </c>
      <c r="C484" t="str">
        <f t="shared" si="14"/>
        <v>INTEGRA Saloon</v>
      </c>
      <c r="D484" t="str">
        <f t="shared" si="15"/>
        <v>1.5</v>
      </c>
      <c r="E484" t="s">
        <v>26</v>
      </c>
      <c r="F484">
        <v>198501</v>
      </c>
      <c r="G484">
        <v>199012</v>
      </c>
      <c r="H484">
        <v>63</v>
      </c>
      <c r="I484">
        <v>85</v>
      </c>
      <c r="J484">
        <v>1488</v>
      </c>
      <c r="K484">
        <v>1076805</v>
      </c>
      <c r="L484" t="s">
        <v>690</v>
      </c>
      <c r="M484" t="str">
        <f>"8DZ355201601"</f>
        <v>8DZ355201601</v>
      </c>
      <c r="N484" t="str">
        <f>"8DZ 355 201-601"</f>
        <v>8DZ 355 201-601</v>
      </c>
      <c r="O484" t="str">
        <f>""</f>
        <v/>
      </c>
      <c r="P484" t="s">
        <v>1159</v>
      </c>
      <c r="Q484" t="str">
        <f>"4082300384093"</f>
        <v>4082300384093</v>
      </c>
      <c r="R484" t="s">
        <v>1160</v>
      </c>
      <c r="S484" t="s">
        <v>221</v>
      </c>
      <c r="T484" t="s">
        <v>1161</v>
      </c>
      <c r="U484">
        <v>2513</v>
      </c>
      <c r="V484" t="s">
        <v>1159</v>
      </c>
      <c r="W484" t="s">
        <v>1130</v>
      </c>
      <c r="X484" t="s">
        <v>224</v>
      </c>
      <c r="Y484" t="s">
        <v>261</v>
      </c>
    </row>
    <row r="485" spans="1:25">
      <c r="A485">
        <v>13527</v>
      </c>
      <c r="B485" t="s">
        <v>25</v>
      </c>
      <c r="C485" t="str">
        <f t="shared" si="14"/>
        <v>INTEGRA Saloon</v>
      </c>
      <c r="D485" t="str">
        <f t="shared" si="15"/>
        <v>1.5</v>
      </c>
      <c r="E485" t="s">
        <v>26</v>
      </c>
      <c r="F485">
        <v>198501</v>
      </c>
      <c r="G485">
        <v>199012</v>
      </c>
      <c r="H485">
        <v>63</v>
      </c>
      <c r="I485">
        <v>85</v>
      </c>
      <c r="J485">
        <v>1488</v>
      </c>
      <c r="K485">
        <v>1151375</v>
      </c>
      <c r="L485" t="s">
        <v>698</v>
      </c>
      <c r="M485" t="str">
        <f>"K0396"</f>
        <v>K0396</v>
      </c>
      <c r="N485" t="str">
        <f>"K0396"</f>
        <v>K0396</v>
      </c>
      <c r="O485" t="str">
        <f>"97200 0630"</f>
        <v>97200 0630</v>
      </c>
      <c r="P485" t="s">
        <v>1159</v>
      </c>
      <c r="Q485" t="str">
        <f>"4007590215230"</f>
        <v>4007590215230</v>
      </c>
      <c r="R485" t="s">
        <v>1162</v>
      </c>
      <c r="S485" t="s">
        <v>221</v>
      </c>
      <c r="T485" t="s">
        <v>1163</v>
      </c>
      <c r="U485">
        <v>2513</v>
      </c>
      <c r="V485" t="s">
        <v>1159</v>
      </c>
      <c r="W485" t="s">
        <v>1130</v>
      </c>
      <c r="X485" t="s">
        <v>224</v>
      </c>
      <c r="Y485" t="s">
        <v>261</v>
      </c>
    </row>
    <row r="486" spans="1:25">
      <c r="A486">
        <v>13527</v>
      </c>
      <c r="B486" t="s">
        <v>25</v>
      </c>
      <c r="C486" t="str">
        <f t="shared" si="14"/>
        <v>INTEGRA Saloon</v>
      </c>
      <c r="D486" t="str">
        <f t="shared" si="15"/>
        <v>1.5</v>
      </c>
      <c r="E486" t="s">
        <v>26</v>
      </c>
      <c r="F486">
        <v>198501</v>
      </c>
      <c r="G486">
        <v>199012</v>
      </c>
      <c r="H486">
        <v>63</v>
      </c>
      <c r="I486">
        <v>85</v>
      </c>
      <c r="J486">
        <v>1488</v>
      </c>
      <c r="K486">
        <v>1637640</v>
      </c>
      <c r="L486" t="s">
        <v>707</v>
      </c>
      <c r="M486" t="str">
        <f>"82063000"</f>
        <v>82063000</v>
      </c>
      <c r="N486" t="str">
        <f>"82063000"</f>
        <v>82063000</v>
      </c>
      <c r="O486" t="str">
        <f>"97200 0630"</f>
        <v>97200 0630</v>
      </c>
      <c r="P486" t="s">
        <v>1159</v>
      </c>
      <c r="Q486" t="str">
        <f>"4019722432927"</f>
        <v>4019722432927</v>
      </c>
      <c r="R486" t="s">
        <v>1164</v>
      </c>
      <c r="S486" t="s">
        <v>221</v>
      </c>
      <c r="T486" t="s">
        <v>1165</v>
      </c>
      <c r="U486">
        <v>2513</v>
      </c>
      <c r="V486" t="s">
        <v>1159</v>
      </c>
      <c r="W486" t="s">
        <v>1130</v>
      </c>
      <c r="X486" t="s">
        <v>224</v>
      </c>
      <c r="Y486" t="s">
        <v>261</v>
      </c>
    </row>
    <row r="487" spans="1:25">
      <c r="A487">
        <v>13527</v>
      </c>
      <c r="B487" t="s">
        <v>25</v>
      </c>
      <c r="C487" t="str">
        <f t="shared" si="14"/>
        <v>INTEGRA Saloon</v>
      </c>
      <c r="D487" t="str">
        <f t="shared" si="15"/>
        <v>1.5</v>
      </c>
      <c r="E487" t="s">
        <v>26</v>
      </c>
      <c r="F487">
        <v>198501</v>
      </c>
      <c r="G487">
        <v>199012</v>
      </c>
      <c r="H487">
        <v>63</v>
      </c>
      <c r="I487">
        <v>85</v>
      </c>
      <c r="J487">
        <v>1488</v>
      </c>
      <c r="K487">
        <v>1918756</v>
      </c>
      <c r="L487" t="s">
        <v>746</v>
      </c>
      <c r="M487" t="str">
        <f>"MBA1319A"</f>
        <v>MBA1319A</v>
      </c>
      <c r="N487" t="str">
        <f>"MBA1319A"</f>
        <v>MBA1319A</v>
      </c>
      <c r="O487" t="str">
        <f>"97200 0630"</f>
        <v>97200 0630</v>
      </c>
      <c r="P487" t="s">
        <v>1159</v>
      </c>
      <c r="Q487" t="str">
        <f>"5028740769389"</f>
        <v>5028740769389</v>
      </c>
      <c r="R487" t="s">
        <v>1162</v>
      </c>
      <c r="S487" t="s">
        <v>221</v>
      </c>
      <c r="T487" t="s">
        <v>1166</v>
      </c>
      <c r="U487">
        <v>2513</v>
      </c>
      <c r="V487" t="s">
        <v>1159</v>
      </c>
      <c r="W487" t="s">
        <v>1130</v>
      </c>
      <c r="X487" t="s">
        <v>224</v>
      </c>
      <c r="Y487" t="s">
        <v>261</v>
      </c>
    </row>
    <row r="488" spans="1:25">
      <c r="A488">
        <v>13527</v>
      </c>
      <c r="B488" t="s">
        <v>25</v>
      </c>
      <c r="C488" t="str">
        <f t="shared" si="14"/>
        <v>INTEGRA Saloon</v>
      </c>
      <c r="D488" t="str">
        <f t="shared" si="15"/>
        <v>1.5</v>
      </c>
      <c r="E488" t="s">
        <v>26</v>
      </c>
      <c r="F488">
        <v>198501</v>
      </c>
      <c r="G488">
        <v>199012</v>
      </c>
      <c r="H488">
        <v>63</v>
      </c>
      <c r="I488">
        <v>85</v>
      </c>
      <c r="J488">
        <v>1488</v>
      </c>
      <c r="K488">
        <v>4478670</v>
      </c>
      <c r="L488" t="s">
        <v>909</v>
      </c>
      <c r="M488" t="str">
        <f>"8DZ355201601"</f>
        <v>8DZ355201601</v>
      </c>
      <c r="N488" t="str">
        <f>"8DZ 355 201-601"</f>
        <v>8DZ 355 201-601</v>
      </c>
      <c r="O488" t="str">
        <f>"K0396"</f>
        <v>K0396</v>
      </c>
      <c r="P488" t="s">
        <v>1159</v>
      </c>
      <c r="Q488" t="str">
        <f>"4082300384093"</f>
        <v>4082300384093</v>
      </c>
      <c r="R488" t="s">
        <v>1160</v>
      </c>
      <c r="S488" t="s">
        <v>221</v>
      </c>
      <c r="T488" t="s">
        <v>1161</v>
      </c>
      <c r="U488">
        <v>2513</v>
      </c>
      <c r="V488" t="s">
        <v>1159</v>
      </c>
      <c r="W488" t="s">
        <v>1130</v>
      </c>
      <c r="X488" t="s">
        <v>224</v>
      </c>
      <c r="Y488" t="s">
        <v>261</v>
      </c>
    </row>
    <row r="489" spans="1:25">
      <c r="A489">
        <v>13527</v>
      </c>
      <c r="B489" t="s">
        <v>25</v>
      </c>
      <c r="C489" t="str">
        <f t="shared" si="14"/>
        <v>INTEGRA Saloon</v>
      </c>
      <c r="D489" t="str">
        <f t="shared" si="15"/>
        <v>1.5</v>
      </c>
      <c r="E489" t="s">
        <v>26</v>
      </c>
      <c r="F489">
        <v>198501</v>
      </c>
      <c r="G489">
        <v>199012</v>
      </c>
      <c r="H489">
        <v>63</v>
      </c>
      <c r="I489">
        <v>85</v>
      </c>
      <c r="J489">
        <v>1488</v>
      </c>
      <c r="K489">
        <v>747471</v>
      </c>
      <c r="L489" t="s">
        <v>1167</v>
      </c>
      <c r="M489" t="str">
        <f>"TOPTECATF1100"</f>
        <v>TOPTECATF1100</v>
      </c>
      <c r="N489" t="str">
        <f>"TOP TEC ATF 1100"</f>
        <v>TOP TEC ATF 1100</v>
      </c>
      <c r="O489" t="str">
        <f>""</f>
        <v/>
      </c>
      <c r="P489" t="s">
        <v>1168</v>
      </c>
      <c r="Q489" t="str">
        <f>""</f>
        <v/>
      </c>
      <c r="S489" t="s">
        <v>1169</v>
      </c>
      <c r="U489">
        <v>3069</v>
      </c>
      <c r="V489" t="s">
        <v>1170</v>
      </c>
      <c r="W489" t="s">
        <v>1171</v>
      </c>
      <c r="X489" t="s">
        <v>1172</v>
      </c>
      <c r="Y489" t="s">
        <v>1172</v>
      </c>
    </row>
    <row r="490" spans="1:25">
      <c r="A490">
        <v>13527</v>
      </c>
      <c r="B490" t="s">
        <v>25</v>
      </c>
      <c r="C490" t="str">
        <f t="shared" si="14"/>
        <v>INTEGRA Saloon</v>
      </c>
      <c r="D490" t="str">
        <f t="shared" si="15"/>
        <v>1.5</v>
      </c>
      <c r="E490" t="s">
        <v>26</v>
      </c>
      <c r="F490">
        <v>198501</v>
      </c>
      <c r="G490">
        <v>199012</v>
      </c>
      <c r="H490">
        <v>63</v>
      </c>
      <c r="I490">
        <v>85</v>
      </c>
      <c r="J490">
        <v>1488</v>
      </c>
      <c r="K490">
        <v>750267</v>
      </c>
      <c r="L490" t="s">
        <v>1173</v>
      </c>
      <c r="M490" t="str">
        <f>"GETRIEBEOLATF55"</f>
        <v>GETRIEBEOLATF55</v>
      </c>
      <c r="N490" t="str">
        <f>"Getriebeol ATF 55"</f>
        <v>Getriebeol ATF 55</v>
      </c>
      <c r="O490" t="str">
        <f>""</f>
        <v/>
      </c>
      <c r="P490" t="s">
        <v>1174</v>
      </c>
      <c r="Q490" t="str">
        <f>""</f>
        <v/>
      </c>
      <c r="S490" t="s">
        <v>1175</v>
      </c>
      <c r="U490">
        <v>3069</v>
      </c>
      <c r="V490" t="s">
        <v>1170</v>
      </c>
      <c r="W490" t="s">
        <v>1171</v>
      </c>
      <c r="X490" t="s">
        <v>1172</v>
      </c>
      <c r="Y490" t="s">
        <v>1172</v>
      </c>
    </row>
    <row r="491" spans="1:25">
      <c r="A491">
        <v>13527</v>
      </c>
      <c r="B491" t="s">
        <v>25</v>
      </c>
      <c r="C491" t="str">
        <f t="shared" si="14"/>
        <v>INTEGRA Saloon</v>
      </c>
      <c r="D491" t="str">
        <f t="shared" si="15"/>
        <v>1.5</v>
      </c>
      <c r="E491" t="s">
        <v>26</v>
      </c>
      <c r="F491">
        <v>198501</v>
      </c>
      <c r="G491">
        <v>199012</v>
      </c>
      <c r="H491">
        <v>63</v>
      </c>
      <c r="I491">
        <v>85</v>
      </c>
      <c r="J491">
        <v>1488</v>
      </c>
      <c r="K491">
        <v>877949</v>
      </c>
      <c r="L491" t="s">
        <v>1176</v>
      </c>
      <c r="M491" t="str">
        <f>"51800"</f>
        <v>51800</v>
      </c>
      <c r="N491" t="str">
        <f>"51800"</f>
        <v>51800</v>
      </c>
      <c r="O491" t="str">
        <f>""</f>
        <v/>
      </c>
      <c r="P491" t="s">
        <v>1170</v>
      </c>
      <c r="Q491" t="str">
        <f>""</f>
        <v/>
      </c>
      <c r="S491" t="s">
        <v>1175</v>
      </c>
      <c r="U491">
        <v>3069</v>
      </c>
      <c r="V491" t="s">
        <v>1170</v>
      </c>
      <c r="W491" t="s">
        <v>1171</v>
      </c>
      <c r="X491" t="s">
        <v>1172</v>
      </c>
      <c r="Y491" t="s">
        <v>1172</v>
      </c>
    </row>
    <row r="492" spans="1:25">
      <c r="A492">
        <v>13527</v>
      </c>
      <c r="B492" t="s">
        <v>25</v>
      </c>
      <c r="C492" t="str">
        <f t="shared" si="14"/>
        <v>INTEGRA Saloon</v>
      </c>
      <c r="D492" t="str">
        <f t="shared" si="15"/>
        <v>1.5</v>
      </c>
      <c r="E492" t="s">
        <v>26</v>
      </c>
      <c r="F492">
        <v>198501</v>
      </c>
      <c r="G492">
        <v>199012</v>
      </c>
      <c r="H492">
        <v>63</v>
      </c>
      <c r="I492">
        <v>85</v>
      </c>
      <c r="J492">
        <v>1488</v>
      </c>
      <c r="K492">
        <v>878119</v>
      </c>
      <c r="L492" t="s">
        <v>1176</v>
      </c>
      <c r="M492" t="str">
        <f>"51810"</f>
        <v>51810</v>
      </c>
      <c r="N492" t="str">
        <f>"51810"</f>
        <v>51810</v>
      </c>
      <c r="O492" t="str">
        <f>""</f>
        <v/>
      </c>
      <c r="P492" t="s">
        <v>1170</v>
      </c>
      <c r="Q492" t="str">
        <f>""</f>
        <v/>
      </c>
      <c r="S492" t="s">
        <v>1175</v>
      </c>
      <c r="U492">
        <v>3069</v>
      </c>
      <c r="V492" t="s">
        <v>1170</v>
      </c>
      <c r="W492" t="s">
        <v>1171</v>
      </c>
      <c r="X492" t="s">
        <v>1172</v>
      </c>
      <c r="Y492" t="s">
        <v>1172</v>
      </c>
    </row>
    <row r="493" spans="1:25">
      <c r="A493">
        <v>13527</v>
      </c>
      <c r="B493" t="s">
        <v>25</v>
      </c>
      <c r="C493" t="str">
        <f t="shared" si="14"/>
        <v>INTEGRA Saloon</v>
      </c>
      <c r="D493" t="str">
        <f t="shared" si="15"/>
        <v>1.5</v>
      </c>
      <c r="E493" t="s">
        <v>26</v>
      </c>
      <c r="F493">
        <v>198501</v>
      </c>
      <c r="G493">
        <v>199012</v>
      </c>
      <c r="H493">
        <v>63</v>
      </c>
      <c r="I493">
        <v>85</v>
      </c>
      <c r="J493">
        <v>1488</v>
      </c>
      <c r="K493">
        <v>878124</v>
      </c>
      <c r="L493" t="s">
        <v>1176</v>
      </c>
      <c r="M493" t="str">
        <f>"51820"</f>
        <v>51820</v>
      </c>
      <c r="N493" t="str">
        <f>"51820"</f>
        <v>51820</v>
      </c>
      <c r="O493" t="str">
        <f>""</f>
        <v/>
      </c>
      <c r="P493" t="s">
        <v>1170</v>
      </c>
      <c r="Q493" t="str">
        <f>""</f>
        <v/>
      </c>
      <c r="S493" t="s">
        <v>1175</v>
      </c>
      <c r="U493">
        <v>3069</v>
      </c>
      <c r="V493" t="s">
        <v>1170</v>
      </c>
      <c r="W493" t="s">
        <v>1171</v>
      </c>
      <c r="X493" t="s">
        <v>1172</v>
      </c>
      <c r="Y493" t="s">
        <v>1172</v>
      </c>
    </row>
    <row r="494" spans="1:25">
      <c r="A494">
        <v>13527</v>
      </c>
      <c r="B494" t="s">
        <v>25</v>
      </c>
      <c r="C494" t="str">
        <f t="shared" si="14"/>
        <v>INTEGRA Saloon</v>
      </c>
      <c r="D494" t="str">
        <f t="shared" si="15"/>
        <v>1.5</v>
      </c>
      <c r="E494" t="s">
        <v>26</v>
      </c>
      <c r="F494">
        <v>198501</v>
      </c>
      <c r="G494">
        <v>199012</v>
      </c>
      <c r="H494">
        <v>63</v>
      </c>
      <c r="I494">
        <v>85</v>
      </c>
      <c r="J494">
        <v>1488</v>
      </c>
      <c r="K494">
        <v>878129</v>
      </c>
      <c r="L494" t="s">
        <v>1176</v>
      </c>
      <c r="M494" t="str">
        <f>"51830"</f>
        <v>51830</v>
      </c>
      <c r="N494" t="str">
        <f>"51830"</f>
        <v>51830</v>
      </c>
      <c r="O494" t="str">
        <f>""</f>
        <v/>
      </c>
      <c r="P494" t="s">
        <v>1170</v>
      </c>
      <c r="Q494" t="str">
        <f>""</f>
        <v/>
      </c>
      <c r="S494" t="s">
        <v>1175</v>
      </c>
      <c r="U494">
        <v>3069</v>
      </c>
      <c r="V494" t="s">
        <v>1170</v>
      </c>
      <c r="W494" t="s">
        <v>1171</v>
      </c>
      <c r="X494" t="s">
        <v>1172</v>
      </c>
      <c r="Y494" t="s">
        <v>1172</v>
      </c>
    </row>
    <row r="495" spans="1:25">
      <c r="A495">
        <v>13527</v>
      </c>
      <c r="B495" t="s">
        <v>25</v>
      </c>
      <c r="C495" t="str">
        <f t="shared" si="14"/>
        <v>INTEGRA Saloon</v>
      </c>
      <c r="D495" t="str">
        <f t="shared" si="15"/>
        <v>1.5</v>
      </c>
      <c r="E495" t="s">
        <v>26</v>
      </c>
      <c r="F495">
        <v>198501</v>
      </c>
      <c r="G495">
        <v>199012</v>
      </c>
      <c r="H495">
        <v>63</v>
      </c>
      <c r="I495">
        <v>85</v>
      </c>
      <c r="J495">
        <v>1488</v>
      </c>
      <c r="K495">
        <v>2738720</v>
      </c>
      <c r="L495" t="s">
        <v>1177</v>
      </c>
      <c r="M495" t="str">
        <f>"3001"</f>
        <v>3001</v>
      </c>
      <c r="N495" t="str">
        <f>"3001"</f>
        <v>3001</v>
      </c>
      <c r="O495" t="str">
        <f>""</f>
        <v/>
      </c>
      <c r="P495" t="s">
        <v>1178</v>
      </c>
      <c r="Q495" t="str">
        <f>""</f>
        <v/>
      </c>
      <c r="S495" t="s">
        <v>1175</v>
      </c>
      <c r="U495">
        <v>3069</v>
      </c>
      <c r="V495" t="s">
        <v>1170</v>
      </c>
      <c r="W495" t="s">
        <v>1171</v>
      </c>
      <c r="X495" t="s">
        <v>1172</v>
      </c>
      <c r="Y495" t="s">
        <v>1172</v>
      </c>
    </row>
    <row r="496" spans="1:25">
      <c r="A496">
        <v>13527</v>
      </c>
      <c r="B496" t="s">
        <v>25</v>
      </c>
      <c r="C496" t="str">
        <f t="shared" si="14"/>
        <v>INTEGRA Saloon</v>
      </c>
      <c r="D496" t="str">
        <f t="shared" si="15"/>
        <v>1.5</v>
      </c>
      <c r="E496" t="s">
        <v>26</v>
      </c>
      <c r="F496">
        <v>198501</v>
      </c>
      <c r="G496">
        <v>199012</v>
      </c>
      <c r="H496">
        <v>63</v>
      </c>
      <c r="I496">
        <v>85</v>
      </c>
      <c r="J496">
        <v>1488</v>
      </c>
      <c r="K496">
        <v>2738722</v>
      </c>
      <c r="L496" t="s">
        <v>1177</v>
      </c>
      <c r="M496" t="str">
        <f>"3003"</f>
        <v>3003</v>
      </c>
      <c r="N496" t="str">
        <f>"3003"</f>
        <v>3003</v>
      </c>
      <c r="O496" t="str">
        <f>""</f>
        <v/>
      </c>
      <c r="P496" t="s">
        <v>1179</v>
      </c>
      <c r="Q496" t="str">
        <f>""</f>
        <v/>
      </c>
      <c r="S496" t="s">
        <v>1175</v>
      </c>
      <c r="U496">
        <v>3069</v>
      </c>
      <c r="V496" t="s">
        <v>1170</v>
      </c>
      <c r="W496" t="s">
        <v>1171</v>
      </c>
      <c r="X496" t="s">
        <v>1172</v>
      </c>
      <c r="Y496" t="s">
        <v>1172</v>
      </c>
    </row>
    <row r="497" spans="1:25">
      <c r="A497">
        <v>13527</v>
      </c>
      <c r="B497" t="s">
        <v>25</v>
      </c>
      <c r="C497" t="str">
        <f t="shared" si="14"/>
        <v>INTEGRA Saloon</v>
      </c>
      <c r="D497" t="str">
        <f t="shared" si="15"/>
        <v>1.5</v>
      </c>
      <c r="E497" t="s">
        <v>26</v>
      </c>
      <c r="F497">
        <v>198501</v>
      </c>
      <c r="G497">
        <v>199012</v>
      </c>
      <c r="H497">
        <v>63</v>
      </c>
      <c r="I497">
        <v>85</v>
      </c>
      <c r="J497">
        <v>1488</v>
      </c>
      <c r="K497">
        <v>2739485</v>
      </c>
      <c r="L497" t="s">
        <v>1180</v>
      </c>
      <c r="M497" t="str">
        <f>"3001"</f>
        <v>3001</v>
      </c>
      <c r="N497" t="str">
        <f>"3001"</f>
        <v>3001</v>
      </c>
      <c r="O497" t="str">
        <f>""</f>
        <v/>
      </c>
      <c r="P497" t="s">
        <v>1178</v>
      </c>
      <c r="Q497" t="str">
        <f>""</f>
        <v/>
      </c>
      <c r="S497" t="s">
        <v>1175</v>
      </c>
      <c r="U497">
        <v>3069</v>
      </c>
      <c r="V497" t="s">
        <v>1170</v>
      </c>
      <c r="W497" t="s">
        <v>1171</v>
      </c>
      <c r="X497" t="s">
        <v>1172</v>
      </c>
      <c r="Y497" t="s">
        <v>1172</v>
      </c>
    </row>
    <row r="498" spans="1:25">
      <c r="A498">
        <v>13527</v>
      </c>
      <c r="B498" t="s">
        <v>25</v>
      </c>
      <c r="C498" t="str">
        <f t="shared" si="14"/>
        <v>INTEGRA Saloon</v>
      </c>
      <c r="D498" t="str">
        <f t="shared" si="15"/>
        <v>1.5</v>
      </c>
      <c r="E498" t="s">
        <v>26</v>
      </c>
      <c r="F498">
        <v>198501</v>
      </c>
      <c r="G498">
        <v>199012</v>
      </c>
      <c r="H498">
        <v>63</v>
      </c>
      <c r="I498">
        <v>85</v>
      </c>
      <c r="J498">
        <v>1488</v>
      </c>
      <c r="K498">
        <v>2739487</v>
      </c>
      <c r="L498" t="s">
        <v>1180</v>
      </c>
      <c r="M498" t="str">
        <f>"3003"</f>
        <v>3003</v>
      </c>
      <c r="N498" t="str">
        <f>"3003"</f>
        <v>3003</v>
      </c>
      <c r="O498" t="str">
        <f>""</f>
        <v/>
      </c>
      <c r="P498" t="s">
        <v>1179</v>
      </c>
      <c r="Q498" t="str">
        <f>""</f>
        <v/>
      </c>
      <c r="S498" t="s">
        <v>1175</v>
      </c>
      <c r="U498">
        <v>3069</v>
      </c>
      <c r="V498" t="s">
        <v>1170</v>
      </c>
      <c r="W498" t="s">
        <v>1171</v>
      </c>
      <c r="X498" t="s">
        <v>1172</v>
      </c>
      <c r="Y498" t="s">
        <v>1172</v>
      </c>
    </row>
    <row r="499" spans="1:25">
      <c r="A499">
        <v>13527</v>
      </c>
      <c r="B499" t="s">
        <v>25</v>
      </c>
      <c r="C499" t="str">
        <f t="shared" si="14"/>
        <v>INTEGRA Saloon</v>
      </c>
      <c r="D499" t="str">
        <f t="shared" si="15"/>
        <v>1.5</v>
      </c>
      <c r="E499" t="s">
        <v>26</v>
      </c>
      <c r="F499">
        <v>198501</v>
      </c>
      <c r="G499">
        <v>199012</v>
      </c>
      <c r="H499">
        <v>63</v>
      </c>
      <c r="I499">
        <v>85</v>
      </c>
      <c r="J499">
        <v>1488</v>
      </c>
      <c r="K499">
        <v>2861530</v>
      </c>
      <c r="L499" t="s">
        <v>1181</v>
      </c>
      <c r="M499" t="str">
        <f>"0223"</f>
        <v>0223</v>
      </c>
      <c r="N499" t="str">
        <f>"0223"</f>
        <v>0223</v>
      </c>
      <c r="O499" t="str">
        <f>""</f>
        <v/>
      </c>
      <c r="P499" t="s">
        <v>1174</v>
      </c>
      <c r="Q499" t="str">
        <f>""</f>
        <v/>
      </c>
      <c r="S499" t="s">
        <v>1175</v>
      </c>
      <c r="U499">
        <v>3069</v>
      </c>
      <c r="V499" t="s">
        <v>1170</v>
      </c>
      <c r="W499" t="s">
        <v>1171</v>
      </c>
      <c r="X499" t="s">
        <v>1172</v>
      </c>
      <c r="Y499" t="s">
        <v>1172</v>
      </c>
    </row>
    <row r="500" spans="1:25">
      <c r="A500">
        <v>13527</v>
      </c>
      <c r="B500" t="s">
        <v>25</v>
      </c>
      <c r="C500" t="str">
        <f t="shared" si="14"/>
        <v>INTEGRA Saloon</v>
      </c>
      <c r="D500" t="str">
        <f t="shared" si="15"/>
        <v>1.5</v>
      </c>
      <c r="E500" t="s">
        <v>26</v>
      </c>
      <c r="F500">
        <v>198501</v>
      </c>
      <c r="G500">
        <v>199012</v>
      </c>
      <c r="H500">
        <v>63</v>
      </c>
      <c r="I500">
        <v>85</v>
      </c>
      <c r="J500">
        <v>1488</v>
      </c>
      <c r="K500">
        <v>2862030</v>
      </c>
      <c r="L500" t="s">
        <v>1181</v>
      </c>
      <c r="M500" t="str">
        <f>"TRANSMAXDEXIIIMULTI"</f>
        <v>TRANSMAXDEXIIIMULTI</v>
      </c>
      <c r="N500" t="str">
        <f>"Transmax DexIII Multi"</f>
        <v>Transmax DexIII Multi</v>
      </c>
      <c r="O500" t="str">
        <f>""</f>
        <v/>
      </c>
      <c r="P500" t="s">
        <v>1182</v>
      </c>
      <c r="Q500" t="str">
        <f>""</f>
        <v/>
      </c>
      <c r="S500" t="s">
        <v>1183</v>
      </c>
      <c r="U500">
        <v>3069</v>
      </c>
      <c r="V500" t="s">
        <v>1170</v>
      </c>
      <c r="W500" t="s">
        <v>1171</v>
      </c>
      <c r="X500" t="s">
        <v>1172</v>
      </c>
      <c r="Y500" t="s">
        <v>1172</v>
      </c>
    </row>
    <row r="501" spans="1:25">
      <c r="A501">
        <v>13527</v>
      </c>
      <c r="B501" t="s">
        <v>25</v>
      </c>
      <c r="C501" t="str">
        <f t="shared" si="14"/>
        <v>INTEGRA Saloon</v>
      </c>
      <c r="D501" t="str">
        <f t="shared" si="15"/>
        <v>1.5</v>
      </c>
      <c r="E501" t="s">
        <v>26</v>
      </c>
      <c r="F501">
        <v>198501</v>
      </c>
      <c r="G501">
        <v>199012</v>
      </c>
      <c r="H501">
        <v>63</v>
      </c>
      <c r="I501">
        <v>85</v>
      </c>
      <c r="J501">
        <v>1488</v>
      </c>
      <c r="K501">
        <v>3634198</v>
      </c>
      <c r="L501" t="s">
        <v>1184</v>
      </c>
      <c r="M501" t="str">
        <f>"VTATF2D"</f>
        <v>VTATF2D</v>
      </c>
      <c r="N501" t="str">
        <f>"VTATF2D"</f>
        <v>VTATF2D</v>
      </c>
      <c r="O501" t="str">
        <f>""</f>
        <v/>
      </c>
      <c r="P501" t="s">
        <v>1168</v>
      </c>
      <c r="Q501" t="str">
        <f>""</f>
        <v/>
      </c>
      <c r="S501" t="s">
        <v>1175</v>
      </c>
      <c r="U501">
        <v>3069</v>
      </c>
      <c r="V501" t="s">
        <v>1170</v>
      </c>
      <c r="W501" t="s">
        <v>1171</v>
      </c>
      <c r="X501" t="s">
        <v>1172</v>
      </c>
      <c r="Y501" t="s">
        <v>1172</v>
      </c>
    </row>
    <row r="502" spans="1:25">
      <c r="A502">
        <v>13527</v>
      </c>
      <c r="B502" t="s">
        <v>25</v>
      </c>
      <c r="C502" t="str">
        <f t="shared" si="14"/>
        <v>INTEGRA Saloon</v>
      </c>
      <c r="D502" t="str">
        <f t="shared" si="15"/>
        <v>1.5</v>
      </c>
      <c r="E502" t="s">
        <v>26</v>
      </c>
      <c r="F502">
        <v>198501</v>
      </c>
      <c r="G502">
        <v>199012</v>
      </c>
      <c r="H502">
        <v>63</v>
      </c>
      <c r="I502">
        <v>85</v>
      </c>
      <c r="J502">
        <v>1488</v>
      </c>
      <c r="K502">
        <v>3748585</v>
      </c>
      <c r="L502" t="s">
        <v>1185</v>
      </c>
      <c r="M502" t="str">
        <f>"E113650"</f>
        <v>E113650</v>
      </c>
      <c r="N502" t="str">
        <f>"E113650"</f>
        <v>E113650</v>
      </c>
      <c r="O502" t="str">
        <f>""</f>
        <v/>
      </c>
      <c r="P502" t="s">
        <v>1186</v>
      </c>
      <c r="Q502" t="str">
        <f>""</f>
        <v/>
      </c>
      <c r="S502" t="s">
        <v>1175</v>
      </c>
      <c r="U502">
        <v>3069</v>
      </c>
      <c r="V502" t="s">
        <v>1170</v>
      </c>
      <c r="W502" t="s">
        <v>1171</v>
      </c>
      <c r="X502" t="s">
        <v>1172</v>
      </c>
      <c r="Y502" t="s">
        <v>1172</v>
      </c>
    </row>
    <row r="503" spans="1:25">
      <c r="A503">
        <v>13527</v>
      </c>
      <c r="B503" t="s">
        <v>25</v>
      </c>
      <c r="C503" t="str">
        <f t="shared" si="14"/>
        <v>INTEGRA Saloon</v>
      </c>
      <c r="D503" t="str">
        <f t="shared" si="15"/>
        <v>1.5</v>
      </c>
      <c r="E503" t="s">
        <v>26</v>
      </c>
      <c r="F503">
        <v>198501</v>
      </c>
      <c r="G503">
        <v>199012</v>
      </c>
      <c r="H503">
        <v>63</v>
      </c>
      <c r="I503">
        <v>85</v>
      </c>
      <c r="J503">
        <v>1488</v>
      </c>
      <c r="K503">
        <v>3748607</v>
      </c>
      <c r="L503" t="s">
        <v>1185</v>
      </c>
      <c r="M503" t="str">
        <f>"E113659"</f>
        <v>E113659</v>
      </c>
      <c r="N503" t="str">
        <f>"E113659"</f>
        <v>E113659</v>
      </c>
      <c r="O503" t="str">
        <f>""</f>
        <v/>
      </c>
      <c r="P503" t="s">
        <v>1179</v>
      </c>
      <c r="Q503" t="str">
        <f>""</f>
        <v/>
      </c>
      <c r="S503" t="s">
        <v>1175</v>
      </c>
      <c r="U503">
        <v>3069</v>
      </c>
      <c r="V503" t="s">
        <v>1170</v>
      </c>
      <c r="W503" t="s">
        <v>1171</v>
      </c>
      <c r="X503" t="s">
        <v>1172</v>
      </c>
      <c r="Y503" t="s">
        <v>1172</v>
      </c>
    </row>
    <row r="504" spans="1:25">
      <c r="A504">
        <v>13527</v>
      </c>
      <c r="B504" t="s">
        <v>25</v>
      </c>
      <c r="C504" t="str">
        <f t="shared" si="14"/>
        <v>INTEGRA Saloon</v>
      </c>
      <c r="D504" t="str">
        <f t="shared" si="15"/>
        <v>1.5</v>
      </c>
      <c r="E504" t="s">
        <v>26</v>
      </c>
      <c r="F504">
        <v>198501</v>
      </c>
      <c r="G504">
        <v>199012</v>
      </c>
      <c r="H504">
        <v>63</v>
      </c>
      <c r="I504">
        <v>85</v>
      </c>
      <c r="J504">
        <v>1488</v>
      </c>
      <c r="K504">
        <v>3748629</v>
      </c>
      <c r="L504" t="s">
        <v>1185</v>
      </c>
      <c r="M504" t="str">
        <f>"E113665"</f>
        <v>E113665</v>
      </c>
      <c r="N504" t="str">
        <f>"E113665"</f>
        <v>E113665</v>
      </c>
      <c r="O504" t="str">
        <f>""</f>
        <v/>
      </c>
      <c r="P504" t="s">
        <v>1179</v>
      </c>
      <c r="Q504" t="str">
        <f>""</f>
        <v/>
      </c>
      <c r="S504" t="s">
        <v>1175</v>
      </c>
      <c r="U504">
        <v>3069</v>
      </c>
      <c r="V504" t="s">
        <v>1170</v>
      </c>
      <c r="W504" t="s">
        <v>1171</v>
      </c>
      <c r="X504" t="s">
        <v>1172</v>
      </c>
      <c r="Y504" t="s">
        <v>1172</v>
      </c>
    </row>
    <row r="505" spans="1:25">
      <c r="A505">
        <v>13527</v>
      </c>
      <c r="B505" t="s">
        <v>25</v>
      </c>
      <c r="C505" t="str">
        <f t="shared" si="14"/>
        <v>INTEGRA Saloon</v>
      </c>
      <c r="D505" t="str">
        <f t="shared" si="15"/>
        <v>1.5</v>
      </c>
      <c r="E505" t="s">
        <v>26</v>
      </c>
      <c r="F505">
        <v>198501</v>
      </c>
      <c r="G505">
        <v>199012</v>
      </c>
      <c r="H505">
        <v>63</v>
      </c>
      <c r="I505">
        <v>85</v>
      </c>
      <c r="J505">
        <v>1488</v>
      </c>
      <c r="K505">
        <v>3920257</v>
      </c>
      <c r="L505" t="s">
        <v>1187</v>
      </c>
      <c r="M505" t="str">
        <f>"26800"</f>
        <v>26800</v>
      </c>
      <c r="N505" t="str">
        <f>"26800"</f>
        <v>26800</v>
      </c>
      <c r="O505" t="str">
        <f>""</f>
        <v/>
      </c>
      <c r="P505" t="s">
        <v>1188</v>
      </c>
      <c r="Q505" t="str">
        <f>""</f>
        <v/>
      </c>
      <c r="S505" t="s">
        <v>1189</v>
      </c>
      <c r="U505">
        <v>3069</v>
      </c>
      <c r="V505" t="s">
        <v>1170</v>
      </c>
      <c r="W505" t="s">
        <v>1171</v>
      </c>
      <c r="X505" t="s">
        <v>1172</v>
      </c>
      <c r="Y505" t="s">
        <v>1172</v>
      </c>
    </row>
    <row r="506" spans="1:25">
      <c r="A506">
        <v>13527</v>
      </c>
      <c r="B506" t="s">
        <v>25</v>
      </c>
      <c r="C506" t="str">
        <f t="shared" si="14"/>
        <v>INTEGRA Saloon</v>
      </c>
      <c r="D506" t="str">
        <f t="shared" si="15"/>
        <v>1.5</v>
      </c>
      <c r="E506" t="s">
        <v>26</v>
      </c>
      <c r="F506">
        <v>198501</v>
      </c>
      <c r="G506">
        <v>199012</v>
      </c>
      <c r="H506">
        <v>63</v>
      </c>
      <c r="I506">
        <v>85</v>
      </c>
      <c r="J506">
        <v>1488</v>
      </c>
      <c r="K506">
        <v>4084783</v>
      </c>
      <c r="L506" t="s">
        <v>1190</v>
      </c>
      <c r="M506" t="str">
        <f>"1211109"</f>
        <v>1211109</v>
      </c>
      <c r="N506" t="str">
        <f>"1211109"</f>
        <v>1211109</v>
      </c>
      <c r="O506" t="str">
        <f>""</f>
        <v/>
      </c>
      <c r="P506" t="s">
        <v>1191</v>
      </c>
      <c r="Q506" t="str">
        <f>""</f>
        <v/>
      </c>
      <c r="R506" t="s">
        <v>1192</v>
      </c>
      <c r="S506" t="s">
        <v>1193</v>
      </c>
      <c r="T506" t="s">
        <v>1194</v>
      </c>
      <c r="U506">
        <v>3069</v>
      </c>
      <c r="V506" t="s">
        <v>1170</v>
      </c>
      <c r="W506" t="s">
        <v>1171</v>
      </c>
      <c r="X506" t="s">
        <v>1172</v>
      </c>
      <c r="Y506" t="s">
        <v>1172</v>
      </c>
    </row>
    <row r="507" spans="1:25">
      <c r="A507">
        <v>13527</v>
      </c>
      <c r="B507" t="s">
        <v>25</v>
      </c>
      <c r="C507" t="str">
        <f t="shared" si="14"/>
        <v>INTEGRA Saloon</v>
      </c>
      <c r="D507" t="str">
        <f t="shared" si="15"/>
        <v>1.5</v>
      </c>
      <c r="E507" t="s">
        <v>26</v>
      </c>
      <c r="F507">
        <v>198501</v>
      </c>
      <c r="G507">
        <v>199012</v>
      </c>
      <c r="H507">
        <v>63</v>
      </c>
      <c r="I507">
        <v>85</v>
      </c>
      <c r="J507">
        <v>1488</v>
      </c>
      <c r="K507">
        <v>747446</v>
      </c>
      <c r="L507" t="s">
        <v>1167</v>
      </c>
      <c r="M507" t="str">
        <f>"LEICHTLAUF10W40"</f>
        <v>LEICHTLAUF10W40</v>
      </c>
      <c r="N507" t="str">
        <f>"LEICHTLAUF 10W40"</f>
        <v>LEICHTLAUF 10W40</v>
      </c>
      <c r="O507" t="str">
        <f>""</f>
        <v/>
      </c>
      <c r="P507" t="s">
        <v>1195</v>
      </c>
      <c r="Q507" t="str">
        <f>""</f>
        <v/>
      </c>
      <c r="S507" t="s">
        <v>1196</v>
      </c>
      <c r="U507">
        <v>3224</v>
      </c>
      <c r="V507" t="s">
        <v>72</v>
      </c>
      <c r="W507" t="s">
        <v>1171</v>
      </c>
      <c r="X507" t="s">
        <v>71</v>
      </c>
      <c r="Y507" t="s">
        <v>1197</v>
      </c>
    </row>
    <row r="508" spans="1:25">
      <c r="A508">
        <v>13527</v>
      </c>
      <c r="B508" t="s">
        <v>25</v>
      </c>
      <c r="C508" t="str">
        <f t="shared" si="14"/>
        <v>INTEGRA Saloon</v>
      </c>
      <c r="D508" t="str">
        <f t="shared" si="15"/>
        <v>1.5</v>
      </c>
      <c r="E508" t="s">
        <v>26</v>
      </c>
      <c r="F508">
        <v>198501</v>
      </c>
      <c r="G508">
        <v>199012</v>
      </c>
      <c r="H508">
        <v>63</v>
      </c>
      <c r="I508">
        <v>85</v>
      </c>
      <c r="J508">
        <v>1488</v>
      </c>
      <c r="K508">
        <v>747451</v>
      </c>
      <c r="L508" t="s">
        <v>1167</v>
      </c>
      <c r="M508" t="str">
        <f>"MOS2LEICHTL10W40"</f>
        <v>MOS2LEICHTL10W40</v>
      </c>
      <c r="N508" t="str">
        <f>"MoS2 LEICHTL. 10W40"</f>
        <v>MoS2 LEICHTL. 10W40</v>
      </c>
      <c r="O508" t="str">
        <f>""</f>
        <v/>
      </c>
      <c r="P508" t="s">
        <v>1195</v>
      </c>
      <c r="Q508" t="str">
        <f>""</f>
        <v/>
      </c>
      <c r="S508" t="s">
        <v>1196</v>
      </c>
      <c r="U508">
        <v>3224</v>
      </c>
      <c r="V508" t="s">
        <v>72</v>
      </c>
      <c r="W508" t="s">
        <v>1171</v>
      </c>
      <c r="X508" t="s">
        <v>71</v>
      </c>
      <c r="Y508" t="s">
        <v>1197</v>
      </c>
    </row>
    <row r="509" spans="1:25">
      <c r="A509">
        <v>13527</v>
      </c>
      <c r="B509" t="s">
        <v>25</v>
      </c>
      <c r="C509" t="str">
        <f t="shared" si="14"/>
        <v>INTEGRA Saloon</v>
      </c>
      <c r="D509" t="str">
        <f t="shared" si="15"/>
        <v>1.5</v>
      </c>
      <c r="E509" t="s">
        <v>26</v>
      </c>
      <c r="F509">
        <v>198501</v>
      </c>
      <c r="G509">
        <v>199012</v>
      </c>
      <c r="H509">
        <v>63</v>
      </c>
      <c r="I509">
        <v>85</v>
      </c>
      <c r="J509">
        <v>1488</v>
      </c>
      <c r="K509">
        <v>747452</v>
      </c>
      <c r="L509" t="s">
        <v>1167</v>
      </c>
      <c r="M509" t="str">
        <f>"NOVASUPER10W40"</f>
        <v>NOVASUPER10W40</v>
      </c>
      <c r="N509" t="str">
        <f>"NOVA SUPER 10W40"</f>
        <v>NOVA SUPER 10W40</v>
      </c>
      <c r="O509" t="str">
        <f>""</f>
        <v/>
      </c>
      <c r="P509" t="s">
        <v>1195</v>
      </c>
      <c r="Q509" t="str">
        <f>""</f>
        <v/>
      </c>
      <c r="S509" t="s">
        <v>1196</v>
      </c>
      <c r="U509">
        <v>3224</v>
      </c>
      <c r="V509" t="s">
        <v>72</v>
      </c>
      <c r="W509" t="s">
        <v>1171</v>
      </c>
      <c r="X509" t="s">
        <v>71</v>
      </c>
      <c r="Y509" t="s">
        <v>1197</v>
      </c>
    </row>
    <row r="510" spans="1:25">
      <c r="A510">
        <v>13527</v>
      </c>
      <c r="B510" t="s">
        <v>25</v>
      </c>
      <c r="C510" t="str">
        <f t="shared" si="14"/>
        <v>INTEGRA Saloon</v>
      </c>
      <c r="D510" t="str">
        <f t="shared" si="15"/>
        <v>1.5</v>
      </c>
      <c r="E510" t="s">
        <v>26</v>
      </c>
      <c r="F510">
        <v>198501</v>
      </c>
      <c r="G510">
        <v>199012</v>
      </c>
      <c r="H510">
        <v>63</v>
      </c>
      <c r="I510">
        <v>85</v>
      </c>
      <c r="J510">
        <v>1488</v>
      </c>
      <c r="K510">
        <v>747453</v>
      </c>
      <c r="L510" t="s">
        <v>1167</v>
      </c>
      <c r="M510" t="str">
        <f>"NOVASUPER15W40"</f>
        <v>NOVASUPER15W40</v>
      </c>
      <c r="N510" t="str">
        <f>"NOVA SUPER 15W40"</f>
        <v>NOVA SUPER 15W40</v>
      </c>
      <c r="O510" t="str">
        <f>""</f>
        <v/>
      </c>
      <c r="P510" t="s">
        <v>1195</v>
      </c>
      <c r="Q510" t="str">
        <f>""</f>
        <v/>
      </c>
      <c r="S510" t="s">
        <v>1196</v>
      </c>
      <c r="U510">
        <v>3224</v>
      </c>
      <c r="V510" t="s">
        <v>72</v>
      </c>
      <c r="W510" t="s">
        <v>1171</v>
      </c>
      <c r="X510" t="s">
        <v>71</v>
      </c>
      <c r="Y510" t="s">
        <v>1197</v>
      </c>
    </row>
    <row r="511" spans="1:25">
      <c r="A511">
        <v>13527</v>
      </c>
      <c r="B511" t="s">
        <v>25</v>
      </c>
      <c r="C511" t="str">
        <f t="shared" si="14"/>
        <v>INTEGRA Saloon</v>
      </c>
      <c r="D511" t="str">
        <f t="shared" si="15"/>
        <v>1.5</v>
      </c>
      <c r="E511" t="s">
        <v>26</v>
      </c>
      <c r="F511">
        <v>198501</v>
      </c>
      <c r="G511">
        <v>199012</v>
      </c>
      <c r="H511">
        <v>63</v>
      </c>
      <c r="I511">
        <v>85</v>
      </c>
      <c r="J511">
        <v>1488</v>
      </c>
      <c r="K511">
        <v>747454</v>
      </c>
      <c r="L511" t="s">
        <v>1167</v>
      </c>
      <c r="M511" t="str">
        <f>"NOVASUPER20W50"</f>
        <v>NOVASUPER20W50</v>
      </c>
      <c r="N511" t="str">
        <f>"NOVA SUPER 20W50"</f>
        <v>NOVA SUPER 20W50</v>
      </c>
      <c r="O511" t="str">
        <f>""</f>
        <v/>
      </c>
      <c r="P511" t="s">
        <v>1195</v>
      </c>
      <c r="Q511" t="str">
        <f>""</f>
        <v/>
      </c>
      <c r="S511" t="s">
        <v>1196</v>
      </c>
      <c r="U511">
        <v>3224</v>
      </c>
      <c r="V511" t="s">
        <v>72</v>
      </c>
      <c r="W511" t="s">
        <v>1171</v>
      </c>
      <c r="X511" t="s">
        <v>71</v>
      </c>
      <c r="Y511" t="s">
        <v>1197</v>
      </c>
    </row>
    <row r="512" spans="1:25">
      <c r="A512">
        <v>13527</v>
      </c>
      <c r="B512" t="s">
        <v>25</v>
      </c>
      <c r="C512" t="str">
        <f t="shared" si="14"/>
        <v>INTEGRA Saloon</v>
      </c>
      <c r="D512" t="str">
        <f t="shared" si="15"/>
        <v>1.5</v>
      </c>
      <c r="E512" t="s">
        <v>26</v>
      </c>
      <c r="F512">
        <v>198501</v>
      </c>
      <c r="G512">
        <v>199012</v>
      </c>
      <c r="H512">
        <v>63</v>
      </c>
      <c r="I512">
        <v>85</v>
      </c>
      <c r="J512">
        <v>1488</v>
      </c>
      <c r="K512">
        <v>747458</v>
      </c>
      <c r="L512" t="s">
        <v>1167</v>
      </c>
      <c r="M512" t="str">
        <f>"SUPERLEICHTL10W40"</f>
        <v>SUPERLEICHTL10W40</v>
      </c>
      <c r="N512" t="str">
        <f>"SUPER LEICHTL. 10W40"</f>
        <v>SUPER LEICHTL. 10W40</v>
      </c>
      <c r="O512" t="str">
        <f>""</f>
        <v/>
      </c>
      <c r="P512" t="s">
        <v>1195</v>
      </c>
      <c r="Q512" t="str">
        <f>""</f>
        <v/>
      </c>
      <c r="S512" t="s">
        <v>1196</v>
      </c>
      <c r="U512">
        <v>3224</v>
      </c>
      <c r="V512" t="s">
        <v>72</v>
      </c>
      <c r="W512" t="s">
        <v>1171</v>
      </c>
      <c r="X512" t="s">
        <v>71</v>
      </c>
      <c r="Y512" t="s">
        <v>1197</v>
      </c>
    </row>
    <row r="513" spans="1:25">
      <c r="A513">
        <v>13527</v>
      </c>
      <c r="B513" t="s">
        <v>25</v>
      </c>
      <c r="C513" t="str">
        <f t="shared" si="14"/>
        <v>INTEGRA Saloon</v>
      </c>
      <c r="D513" t="str">
        <f t="shared" si="15"/>
        <v>1.5</v>
      </c>
      <c r="E513" t="s">
        <v>26</v>
      </c>
      <c r="F513">
        <v>198501</v>
      </c>
      <c r="G513">
        <v>199012</v>
      </c>
      <c r="H513">
        <v>63</v>
      </c>
      <c r="I513">
        <v>85</v>
      </c>
      <c r="J513">
        <v>1488</v>
      </c>
      <c r="K513">
        <v>747462</v>
      </c>
      <c r="L513" t="s">
        <v>1167</v>
      </c>
      <c r="M513" t="str">
        <f>"SYNTHOILHT5W40"</f>
        <v>SYNTHOILHT5W40</v>
      </c>
      <c r="N513" t="str">
        <f>"SYNTHOIL HT 5W40"</f>
        <v>SYNTHOIL HT 5W40</v>
      </c>
      <c r="O513" t="str">
        <f>""</f>
        <v/>
      </c>
      <c r="P513" t="s">
        <v>1195</v>
      </c>
      <c r="Q513" t="str">
        <f>""</f>
        <v/>
      </c>
      <c r="S513" t="s">
        <v>1196</v>
      </c>
      <c r="U513">
        <v>3224</v>
      </c>
      <c r="V513" t="s">
        <v>72</v>
      </c>
      <c r="W513" t="s">
        <v>1171</v>
      </c>
      <c r="X513" t="s">
        <v>71</v>
      </c>
      <c r="Y513" t="s">
        <v>1197</v>
      </c>
    </row>
    <row r="514" spans="1:25">
      <c r="A514">
        <v>13527</v>
      </c>
      <c r="B514" t="s">
        <v>25</v>
      </c>
      <c r="C514" t="str">
        <f t="shared" ref="C514:C577" si="16">"INTEGRA Saloon"</f>
        <v>INTEGRA Saloon</v>
      </c>
      <c r="D514" t="str">
        <f t="shared" ref="D514:D577" si="17">"1.5"</f>
        <v>1.5</v>
      </c>
      <c r="E514" t="s">
        <v>26</v>
      </c>
      <c r="F514">
        <v>198501</v>
      </c>
      <c r="G514">
        <v>199012</v>
      </c>
      <c r="H514">
        <v>63</v>
      </c>
      <c r="I514">
        <v>85</v>
      </c>
      <c r="J514">
        <v>1488</v>
      </c>
      <c r="K514">
        <v>747465</v>
      </c>
      <c r="L514" t="s">
        <v>1167</v>
      </c>
      <c r="M514" t="str">
        <f>"TOPTEC41005W40"</f>
        <v>TOPTEC41005W40</v>
      </c>
      <c r="N514" t="str">
        <f>"TOP TEC 4100 5W40"</f>
        <v>TOP TEC 4100 5W40</v>
      </c>
      <c r="O514" t="str">
        <f>""</f>
        <v/>
      </c>
      <c r="P514" t="s">
        <v>1195</v>
      </c>
      <c r="Q514" t="str">
        <f>""</f>
        <v/>
      </c>
      <c r="S514" t="s">
        <v>1196</v>
      </c>
      <c r="U514">
        <v>3224</v>
      </c>
      <c r="V514" t="s">
        <v>72</v>
      </c>
      <c r="W514" t="s">
        <v>1171</v>
      </c>
      <c r="X514" t="s">
        <v>71</v>
      </c>
      <c r="Y514" t="s">
        <v>1197</v>
      </c>
    </row>
    <row r="515" spans="1:25">
      <c r="A515">
        <v>13527</v>
      </c>
      <c r="B515" t="s">
        <v>25</v>
      </c>
      <c r="C515" t="str">
        <f t="shared" si="16"/>
        <v>INTEGRA Saloon</v>
      </c>
      <c r="D515" t="str">
        <f t="shared" si="17"/>
        <v>1.5</v>
      </c>
      <c r="E515" t="s">
        <v>26</v>
      </c>
      <c r="F515">
        <v>198501</v>
      </c>
      <c r="G515">
        <v>199012</v>
      </c>
      <c r="H515">
        <v>63</v>
      </c>
      <c r="I515">
        <v>85</v>
      </c>
      <c r="J515">
        <v>1488</v>
      </c>
      <c r="K515">
        <v>747477</v>
      </c>
      <c r="L515" t="s">
        <v>1167</v>
      </c>
      <c r="M515" t="str">
        <f>"TOURINGHT10W30"</f>
        <v>TOURINGHT10W30</v>
      </c>
      <c r="N515" t="str">
        <f>"TOURING HT 10W30"</f>
        <v>TOURING HT 10W30</v>
      </c>
      <c r="O515" t="str">
        <f>""</f>
        <v/>
      </c>
      <c r="P515" t="s">
        <v>1195</v>
      </c>
      <c r="Q515" t="str">
        <f>""</f>
        <v/>
      </c>
      <c r="S515" t="s">
        <v>1196</v>
      </c>
      <c r="U515">
        <v>3224</v>
      </c>
      <c r="V515" t="s">
        <v>72</v>
      </c>
      <c r="W515" t="s">
        <v>1171</v>
      </c>
      <c r="X515" t="s">
        <v>71</v>
      </c>
      <c r="Y515" t="s">
        <v>1197</v>
      </c>
    </row>
    <row r="516" spans="1:25">
      <c r="A516">
        <v>13527</v>
      </c>
      <c r="B516" t="s">
        <v>25</v>
      </c>
      <c r="C516" t="str">
        <f t="shared" si="16"/>
        <v>INTEGRA Saloon</v>
      </c>
      <c r="D516" t="str">
        <f t="shared" si="17"/>
        <v>1.5</v>
      </c>
      <c r="E516" t="s">
        <v>26</v>
      </c>
      <c r="F516">
        <v>198501</v>
      </c>
      <c r="G516">
        <v>199012</v>
      </c>
      <c r="H516">
        <v>63</v>
      </c>
      <c r="I516">
        <v>85</v>
      </c>
      <c r="J516">
        <v>1488</v>
      </c>
      <c r="K516">
        <v>747479</v>
      </c>
      <c r="L516" t="s">
        <v>1167</v>
      </c>
      <c r="M516" t="str">
        <f>"TOURINGHT20W50"</f>
        <v>TOURINGHT20W50</v>
      </c>
      <c r="N516" t="str">
        <f>"TOURING HT 20W50"</f>
        <v>TOURING HT 20W50</v>
      </c>
      <c r="O516" t="str">
        <f>""</f>
        <v/>
      </c>
      <c r="P516" t="s">
        <v>1195</v>
      </c>
      <c r="Q516" t="str">
        <f>""</f>
        <v/>
      </c>
      <c r="S516" t="s">
        <v>1196</v>
      </c>
      <c r="U516">
        <v>3224</v>
      </c>
      <c r="V516" t="s">
        <v>72</v>
      </c>
      <c r="W516" t="s">
        <v>1171</v>
      </c>
      <c r="X516" t="s">
        <v>71</v>
      </c>
      <c r="Y516" t="s">
        <v>1197</v>
      </c>
    </row>
    <row r="517" spans="1:25">
      <c r="A517">
        <v>13527</v>
      </c>
      <c r="B517" t="s">
        <v>25</v>
      </c>
      <c r="C517" t="str">
        <f t="shared" si="16"/>
        <v>INTEGRA Saloon</v>
      </c>
      <c r="D517" t="str">
        <f t="shared" si="17"/>
        <v>1.5</v>
      </c>
      <c r="E517" t="s">
        <v>26</v>
      </c>
      <c r="F517">
        <v>198501</v>
      </c>
      <c r="G517">
        <v>199012</v>
      </c>
      <c r="H517">
        <v>63</v>
      </c>
      <c r="I517">
        <v>85</v>
      </c>
      <c r="J517">
        <v>1488</v>
      </c>
      <c r="K517">
        <v>750286</v>
      </c>
      <c r="L517" t="s">
        <v>1173</v>
      </c>
      <c r="M517" t="str">
        <f>"HIGHTRONICM5W40"</f>
        <v>HIGHTRONICM5W40</v>
      </c>
      <c r="N517" t="str">
        <f>"HighTronic M 5W-40"</f>
        <v>HighTronic M 5W-40</v>
      </c>
      <c r="O517" t="str">
        <f>""</f>
        <v/>
      </c>
      <c r="P517" t="s">
        <v>1198</v>
      </c>
      <c r="Q517" t="str">
        <f>""</f>
        <v/>
      </c>
      <c r="S517" t="s">
        <v>1199</v>
      </c>
      <c r="U517">
        <v>3224</v>
      </c>
      <c r="V517" t="s">
        <v>72</v>
      </c>
      <c r="W517" t="s">
        <v>1171</v>
      </c>
      <c r="X517" t="s">
        <v>71</v>
      </c>
      <c r="Y517" t="s">
        <v>1197</v>
      </c>
    </row>
    <row r="518" spans="1:25">
      <c r="A518">
        <v>13527</v>
      </c>
      <c r="B518" t="s">
        <v>25</v>
      </c>
      <c r="C518" t="str">
        <f t="shared" si="16"/>
        <v>INTEGRA Saloon</v>
      </c>
      <c r="D518" t="str">
        <f t="shared" si="17"/>
        <v>1.5</v>
      </c>
      <c r="E518" t="s">
        <v>26</v>
      </c>
      <c r="F518">
        <v>198501</v>
      </c>
      <c r="G518">
        <v>199012</v>
      </c>
      <c r="H518">
        <v>63</v>
      </c>
      <c r="I518">
        <v>85</v>
      </c>
      <c r="J518">
        <v>1488</v>
      </c>
      <c r="K518">
        <v>750298</v>
      </c>
      <c r="L518" t="s">
        <v>1173</v>
      </c>
      <c r="M518" t="str">
        <f>"TRONIC15W40"</f>
        <v>TRONIC15W40</v>
      </c>
      <c r="N518" t="str">
        <f>"Tronic 15W-40"</f>
        <v>Tronic 15W-40</v>
      </c>
      <c r="O518" t="str">
        <f>""</f>
        <v/>
      </c>
      <c r="P518" t="s">
        <v>1198</v>
      </c>
      <c r="Q518" t="str">
        <f>""</f>
        <v/>
      </c>
      <c r="S518" t="s">
        <v>1199</v>
      </c>
      <c r="U518">
        <v>3224</v>
      </c>
      <c r="V518" t="s">
        <v>72</v>
      </c>
      <c r="W518" t="s">
        <v>1171</v>
      </c>
      <c r="X518" t="s">
        <v>71</v>
      </c>
      <c r="Y518" t="s">
        <v>1197</v>
      </c>
    </row>
    <row r="519" spans="1:25">
      <c r="A519">
        <v>13527</v>
      </c>
      <c r="B519" t="s">
        <v>25</v>
      </c>
      <c r="C519" t="str">
        <f t="shared" si="16"/>
        <v>INTEGRA Saloon</v>
      </c>
      <c r="D519" t="str">
        <f t="shared" si="17"/>
        <v>1.5</v>
      </c>
      <c r="E519" t="s">
        <v>26</v>
      </c>
      <c r="F519">
        <v>198501</v>
      </c>
      <c r="G519">
        <v>199012</v>
      </c>
      <c r="H519">
        <v>63</v>
      </c>
      <c r="I519">
        <v>85</v>
      </c>
      <c r="J519">
        <v>1488</v>
      </c>
      <c r="K519">
        <v>877843</v>
      </c>
      <c r="L519" t="s">
        <v>1176</v>
      </c>
      <c r="M519" t="str">
        <f>"49520"</f>
        <v>49520</v>
      </c>
      <c r="N519" t="str">
        <f>"49520"</f>
        <v>49520</v>
      </c>
      <c r="O519" t="str">
        <f>""</f>
        <v/>
      </c>
      <c r="P519" t="s">
        <v>72</v>
      </c>
      <c r="Q519" t="str">
        <f>""</f>
        <v/>
      </c>
      <c r="S519" t="s">
        <v>1199</v>
      </c>
      <c r="U519">
        <v>3224</v>
      </c>
      <c r="V519" t="s">
        <v>72</v>
      </c>
      <c r="W519" t="s">
        <v>1171</v>
      </c>
      <c r="X519" t="s">
        <v>71</v>
      </c>
      <c r="Y519" t="s">
        <v>1197</v>
      </c>
    </row>
    <row r="520" spans="1:25">
      <c r="A520">
        <v>13527</v>
      </c>
      <c r="B520" t="s">
        <v>25</v>
      </c>
      <c r="C520" t="str">
        <f t="shared" si="16"/>
        <v>INTEGRA Saloon</v>
      </c>
      <c r="D520" t="str">
        <f t="shared" si="17"/>
        <v>1.5</v>
      </c>
      <c r="E520" t="s">
        <v>26</v>
      </c>
      <c r="F520">
        <v>198501</v>
      </c>
      <c r="G520">
        <v>199012</v>
      </c>
      <c r="H520">
        <v>63</v>
      </c>
      <c r="I520">
        <v>85</v>
      </c>
      <c r="J520">
        <v>1488</v>
      </c>
      <c r="K520">
        <v>877856</v>
      </c>
      <c r="L520" t="s">
        <v>1176</v>
      </c>
      <c r="M520" t="str">
        <f>"49540"</f>
        <v>49540</v>
      </c>
      <c r="N520" t="str">
        <f>"49540"</f>
        <v>49540</v>
      </c>
      <c r="O520" t="str">
        <f>""</f>
        <v/>
      </c>
      <c r="P520" t="s">
        <v>72</v>
      </c>
      <c r="Q520" t="str">
        <f>""</f>
        <v/>
      </c>
      <c r="S520" t="s">
        <v>1199</v>
      </c>
      <c r="U520">
        <v>3224</v>
      </c>
      <c r="V520" t="s">
        <v>72</v>
      </c>
      <c r="W520" t="s">
        <v>1171</v>
      </c>
      <c r="X520" t="s">
        <v>71</v>
      </c>
      <c r="Y520" t="s">
        <v>1197</v>
      </c>
    </row>
    <row r="521" spans="1:25">
      <c r="A521">
        <v>13527</v>
      </c>
      <c r="B521" t="s">
        <v>25</v>
      </c>
      <c r="C521" t="str">
        <f t="shared" si="16"/>
        <v>INTEGRA Saloon</v>
      </c>
      <c r="D521" t="str">
        <f t="shared" si="17"/>
        <v>1.5</v>
      </c>
      <c r="E521" t="s">
        <v>26</v>
      </c>
      <c r="F521">
        <v>198501</v>
      </c>
      <c r="G521">
        <v>199012</v>
      </c>
      <c r="H521">
        <v>63</v>
      </c>
      <c r="I521">
        <v>85</v>
      </c>
      <c r="J521">
        <v>1488</v>
      </c>
      <c r="K521">
        <v>877864</v>
      </c>
      <c r="L521" t="s">
        <v>1176</v>
      </c>
      <c r="M521" t="str">
        <f>"49610"</f>
        <v>49610</v>
      </c>
      <c r="N521" t="str">
        <f>"49610"</f>
        <v>49610</v>
      </c>
      <c r="O521" t="str">
        <f>""</f>
        <v/>
      </c>
      <c r="P521" t="s">
        <v>72</v>
      </c>
      <c r="Q521" t="str">
        <f>""</f>
        <v/>
      </c>
      <c r="S521" t="s">
        <v>1199</v>
      </c>
      <c r="U521">
        <v>3224</v>
      </c>
      <c r="V521" t="s">
        <v>72</v>
      </c>
      <c r="W521" t="s">
        <v>1171</v>
      </c>
      <c r="X521" t="s">
        <v>71</v>
      </c>
      <c r="Y521" t="s">
        <v>1197</v>
      </c>
    </row>
    <row r="522" spans="1:25">
      <c r="A522">
        <v>13527</v>
      </c>
      <c r="B522" t="s">
        <v>25</v>
      </c>
      <c r="C522" t="str">
        <f t="shared" si="16"/>
        <v>INTEGRA Saloon</v>
      </c>
      <c r="D522" t="str">
        <f t="shared" si="17"/>
        <v>1.5</v>
      </c>
      <c r="E522" t="s">
        <v>26</v>
      </c>
      <c r="F522">
        <v>198501</v>
      </c>
      <c r="G522">
        <v>199012</v>
      </c>
      <c r="H522">
        <v>63</v>
      </c>
      <c r="I522">
        <v>85</v>
      </c>
      <c r="J522">
        <v>1488</v>
      </c>
      <c r="K522">
        <v>877870</v>
      </c>
      <c r="L522" t="s">
        <v>1176</v>
      </c>
      <c r="M522" t="str">
        <f>"49623"</f>
        <v>49623</v>
      </c>
      <c r="N522" t="str">
        <f>"49623"</f>
        <v>49623</v>
      </c>
      <c r="O522" t="str">
        <f>""</f>
        <v/>
      </c>
      <c r="P522" t="s">
        <v>72</v>
      </c>
      <c r="Q522" t="str">
        <f>""</f>
        <v/>
      </c>
      <c r="S522" t="s">
        <v>1199</v>
      </c>
      <c r="U522">
        <v>3224</v>
      </c>
      <c r="V522" t="s">
        <v>72</v>
      </c>
      <c r="W522" t="s">
        <v>1171</v>
      </c>
      <c r="X522" t="s">
        <v>71</v>
      </c>
      <c r="Y522" t="s">
        <v>1197</v>
      </c>
    </row>
    <row r="523" spans="1:25">
      <c r="A523">
        <v>13527</v>
      </c>
      <c r="B523" t="s">
        <v>25</v>
      </c>
      <c r="C523" t="str">
        <f t="shared" si="16"/>
        <v>INTEGRA Saloon</v>
      </c>
      <c r="D523" t="str">
        <f t="shared" si="17"/>
        <v>1.5</v>
      </c>
      <c r="E523" t="s">
        <v>26</v>
      </c>
      <c r="F523">
        <v>198501</v>
      </c>
      <c r="G523">
        <v>199012</v>
      </c>
      <c r="H523">
        <v>63</v>
      </c>
      <c r="I523">
        <v>85</v>
      </c>
      <c r="J523">
        <v>1488</v>
      </c>
      <c r="K523">
        <v>877877</v>
      </c>
      <c r="L523" t="s">
        <v>1176</v>
      </c>
      <c r="M523" t="str">
        <f>"49624"</f>
        <v>49624</v>
      </c>
      <c r="N523" t="str">
        <f>"49624"</f>
        <v>49624</v>
      </c>
      <c r="O523" t="str">
        <f>""</f>
        <v/>
      </c>
      <c r="P523" t="s">
        <v>72</v>
      </c>
      <c r="Q523" t="str">
        <f>""</f>
        <v/>
      </c>
      <c r="S523" t="s">
        <v>1199</v>
      </c>
      <c r="U523">
        <v>3224</v>
      </c>
      <c r="V523" t="s">
        <v>72</v>
      </c>
      <c r="W523" t="s">
        <v>1171</v>
      </c>
      <c r="X523" t="s">
        <v>71</v>
      </c>
      <c r="Y523" t="s">
        <v>1197</v>
      </c>
    </row>
    <row r="524" spans="1:25">
      <c r="A524">
        <v>13527</v>
      </c>
      <c r="B524" t="s">
        <v>25</v>
      </c>
      <c r="C524" t="str">
        <f t="shared" si="16"/>
        <v>INTEGRA Saloon</v>
      </c>
      <c r="D524" t="str">
        <f t="shared" si="17"/>
        <v>1.5</v>
      </c>
      <c r="E524" t="s">
        <v>26</v>
      </c>
      <c r="F524">
        <v>198501</v>
      </c>
      <c r="G524">
        <v>199012</v>
      </c>
      <c r="H524">
        <v>63</v>
      </c>
      <c r="I524">
        <v>85</v>
      </c>
      <c r="J524">
        <v>1488</v>
      </c>
      <c r="K524">
        <v>877884</v>
      </c>
      <c r="L524" t="s">
        <v>1176</v>
      </c>
      <c r="M524" t="str">
        <f>"49632"</f>
        <v>49632</v>
      </c>
      <c r="N524" t="str">
        <f>"49632"</f>
        <v>49632</v>
      </c>
      <c r="O524" t="str">
        <f>""</f>
        <v/>
      </c>
      <c r="P524" t="s">
        <v>72</v>
      </c>
      <c r="Q524" t="str">
        <f>""</f>
        <v/>
      </c>
      <c r="S524" t="s">
        <v>1199</v>
      </c>
      <c r="U524">
        <v>3224</v>
      </c>
      <c r="V524" t="s">
        <v>72</v>
      </c>
      <c r="W524" t="s">
        <v>1171</v>
      </c>
      <c r="X524" t="s">
        <v>71</v>
      </c>
      <c r="Y524" t="s">
        <v>1197</v>
      </c>
    </row>
    <row r="525" spans="1:25">
      <c r="A525">
        <v>13527</v>
      </c>
      <c r="B525" t="s">
        <v>25</v>
      </c>
      <c r="C525" t="str">
        <f t="shared" si="16"/>
        <v>INTEGRA Saloon</v>
      </c>
      <c r="D525" t="str">
        <f t="shared" si="17"/>
        <v>1.5</v>
      </c>
      <c r="E525" t="s">
        <v>26</v>
      </c>
      <c r="F525">
        <v>198501</v>
      </c>
      <c r="G525">
        <v>199012</v>
      </c>
      <c r="H525">
        <v>63</v>
      </c>
      <c r="I525">
        <v>85</v>
      </c>
      <c r="J525">
        <v>1488</v>
      </c>
      <c r="K525">
        <v>877890</v>
      </c>
      <c r="L525" t="s">
        <v>1176</v>
      </c>
      <c r="M525" t="str">
        <f>"49640"</f>
        <v>49640</v>
      </c>
      <c r="N525" t="str">
        <f>"49640"</f>
        <v>49640</v>
      </c>
      <c r="O525" t="str">
        <f>""</f>
        <v/>
      </c>
      <c r="P525" t="s">
        <v>72</v>
      </c>
      <c r="Q525" t="str">
        <f>""</f>
        <v/>
      </c>
      <c r="S525" t="s">
        <v>1199</v>
      </c>
      <c r="U525">
        <v>3224</v>
      </c>
      <c r="V525" t="s">
        <v>72</v>
      </c>
      <c r="W525" t="s">
        <v>1171</v>
      </c>
      <c r="X525" t="s">
        <v>71</v>
      </c>
      <c r="Y525" t="s">
        <v>1197</v>
      </c>
    </row>
    <row r="526" spans="1:25">
      <c r="A526">
        <v>13527</v>
      </c>
      <c r="B526" t="s">
        <v>25</v>
      </c>
      <c r="C526" t="str">
        <f t="shared" si="16"/>
        <v>INTEGRA Saloon</v>
      </c>
      <c r="D526" t="str">
        <f t="shared" si="17"/>
        <v>1.5</v>
      </c>
      <c r="E526" t="s">
        <v>26</v>
      </c>
      <c r="F526">
        <v>198501</v>
      </c>
      <c r="G526">
        <v>199012</v>
      </c>
      <c r="H526">
        <v>63</v>
      </c>
      <c r="I526">
        <v>85</v>
      </c>
      <c r="J526">
        <v>1488</v>
      </c>
      <c r="K526">
        <v>877905</v>
      </c>
      <c r="L526" t="s">
        <v>1176</v>
      </c>
      <c r="M526" t="str">
        <f>"49700"</f>
        <v>49700</v>
      </c>
      <c r="N526" t="str">
        <f>"49700"</f>
        <v>49700</v>
      </c>
      <c r="O526" t="str">
        <f>""</f>
        <v/>
      </c>
      <c r="P526" t="s">
        <v>72</v>
      </c>
      <c r="Q526" t="str">
        <f>""</f>
        <v/>
      </c>
      <c r="S526" t="s">
        <v>1199</v>
      </c>
      <c r="U526">
        <v>3224</v>
      </c>
      <c r="V526" t="s">
        <v>72</v>
      </c>
      <c r="W526" t="s">
        <v>1171</v>
      </c>
      <c r="X526" t="s">
        <v>71</v>
      </c>
      <c r="Y526" t="s">
        <v>1197</v>
      </c>
    </row>
    <row r="527" spans="1:25">
      <c r="A527">
        <v>13527</v>
      </c>
      <c r="B527" t="s">
        <v>25</v>
      </c>
      <c r="C527" t="str">
        <f t="shared" si="16"/>
        <v>INTEGRA Saloon</v>
      </c>
      <c r="D527" t="str">
        <f t="shared" si="17"/>
        <v>1.5</v>
      </c>
      <c r="E527" t="s">
        <v>26</v>
      </c>
      <c r="F527">
        <v>198501</v>
      </c>
      <c r="G527">
        <v>199012</v>
      </c>
      <c r="H527">
        <v>63</v>
      </c>
      <c r="I527">
        <v>85</v>
      </c>
      <c r="J527">
        <v>1488</v>
      </c>
      <c r="K527">
        <v>877917</v>
      </c>
      <c r="L527" t="s">
        <v>1176</v>
      </c>
      <c r="M527" t="str">
        <f>"49720"</f>
        <v>49720</v>
      </c>
      <c r="N527" t="str">
        <f>"49720"</f>
        <v>49720</v>
      </c>
      <c r="O527" t="str">
        <f>""</f>
        <v/>
      </c>
      <c r="P527" t="s">
        <v>72</v>
      </c>
      <c r="Q527" t="str">
        <f>""</f>
        <v/>
      </c>
      <c r="S527" t="s">
        <v>1199</v>
      </c>
      <c r="U527">
        <v>3224</v>
      </c>
      <c r="V527" t="s">
        <v>72</v>
      </c>
      <c r="W527" t="s">
        <v>1171</v>
      </c>
      <c r="X527" t="s">
        <v>71</v>
      </c>
      <c r="Y527" t="s">
        <v>1197</v>
      </c>
    </row>
    <row r="528" spans="1:25">
      <c r="A528">
        <v>13527</v>
      </c>
      <c r="B528" t="s">
        <v>25</v>
      </c>
      <c r="C528" t="str">
        <f t="shared" si="16"/>
        <v>INTEGRA Saloon</v>
      </c>
      <c r="D528" t="str">
        <f t="shared" si="17"/>
        <v>1.5</v>
      </c>
      <c r="E528" t="s">
        <v>26</v>
      </c>
      <c r="F528">
        <v>198501</v>
      </c>
      <c r="G528">
        <v>199012</v>
      </c>
      <c r="H528">
        <v>63</v>
      </c>
      <c r="I528">
        <v>85</v>
      </c>
      <c r="J528">
        <v>1488</v>
      </c>
      <c r="K528">
        <v>878251</v>
      </c>
      <c r="L528" t="s">
        <v>1176</v>
      </c>
      <c r="M528" t="str">
        <f>"48470"</f>
        <v>48470</v>
      </c>
      <c r="N528" t="str">
        <f>"48470"</f>
        <v>48470</v>
      </c>
      <c r="O528" t="str">
        <f>""</f>
        <v/>
      </c>
      <c r="P528" t="s">
        <v>72</v>
      </c>
      <c r="Q528" t="str">
        <f>""</f>
        <v/>
      </c>
      <c r="S528" t="s">
        <v>1199</v>
      </c>
      <c r="U528">
        <v>3224</v>
      </c>
      <c r="V528" t="s">
        <v>72</v>
      </c>
      <c r="W528" t="s">
        <v>1171</v>
      </c>
      <c r="X528" t="s">
        <v>71</v>
      </c>
      <c r="Y528" t="s">
        <v>1197</v>
      </c>
    </row>
    <row r="529" spans="1:25">
      <c r="A529">
        <v>13527</v>
      </c>
      <c r="B529" t="s">
        <v>25</v>
      </c>
      <c r="C529" t="str">
        <f t="shared" si="16"/>
        <v>INTEGRA Saloon</v>
      </c>
      <c r="D529" t="str">
        <f t="shared" si="17"/>
        <v>1.5</v>
      </c>
      <c r="E529" t="s">
        <v>26</v>
      </c>
      <c r="F529">
        <v>198501</v>
      </c>
      <c r="G529">
        <v>199012</v>
      </c>
      <c r="H529">
        <v>63</v>
      </c>
      <c r="I529">
        <v>85</v>
      </c>
      <c r="J529">
        <v>1488</v>
      </c>
      <c r="K529">
        <v>878475</v>
      </c>
      <c r="L529" t="s">
        <v>1176</v>
      </c>
      <c r="M529" t="str">
        <f>"49340"</f>
        <v>49340</v>
      </c>
      <c r="N529" t="str">
        <f>"49340"</f>
        <v>49340</v>
      </c>
      <c r="O529" t="str">
        <f>""</f>
        <v/>
      </c>
      <c r="P529" t="s">
        <v>72</v>
      </c>
      <c r="Q529" t="str">
        <f>""</f>
        <v/>
      </c>
      <c r="S529" t="s">
        <v>1199</v>
      </c>
      <c r="U529">
        <v>3224</v>
      </c>
      <c r="V529" t="s">
        <v>72</v>
      </c>
      <c r="W529" t="s">
        <v>1171</v>
      </c>
      <c r="X529" t="s">
        <v>71</v>
      </c>
      <c r="Y529" t="s">
        <v>1197</v>
      </c>
    </row>
    <row r="530" spans="1:25">
      <c r="A530">
        <v>13527</v>
      </c>
      <c r="B530" t="s">
        <v>25</v>
      </c>
      <c r="C530" t="str">
        <f t="shared" si="16"/>
        <v>INTEGRA Saloon</v>
      </c>
      <c r="D530" t="str">
        <f t="shared" si="17"/>
        <v>1.5</v>
      </c>
      <c r="E530" t="s">
        <v>26</v>
      </c>
      <c r="F530">
        <v>198501</v>
      </c>
      <c r="G530">
        <v>199012</v>
      </c>
      <c r="H530">
        <v>63</v>
      </c>
      <c r="I530">
        <v>85</v>
      </c>
      <c r="J530">
        <v>1488</v>
      </c>
      <c r="K530">
        <v>878508</v>
      </c>
      <c r="L530" t="s">
        <v>1176</v>
      </c>
      <c r="M530" t="str">
        <f>"49421"</f>
        <v>49421</v>
      </c>
      <c r="N530" t="str">
        <f>"49421"</f>
        <v>49421</v>
      </c>
      <c r="O530" t="str">
        <f>""</f>
        <v/>
      </c>
      <c r="P530" t="s">
        <v>72</v>
      </c>
      <c r="Q530" t="str">
        <f>""</f>
        <v/>
      </c>
      <c r="S530" t="s">
        <v>1199</v>
      </c>
      <c r="U530">
        <v>3224</v>
      </c>
      <c r="V530" t="s">
        <v>72</v>
      </c>
      <c r="W530" t="s">
        <v>1171</v>
      </c>
      <c r="X530" t="s">
        <v>71</v>
      </c>
      <c r="Y530" t="s">
        <v>1197</v>
      </c>
    </row>
    <row r="531" spans="1:25">
      <c r="A531">
        <v>13527</v>
      </c>
      <c r="B531" t="s">
        <v>25</v>
      </c>
      <c r="C531" t="str">
        <f t="shared" si="16"/>
        <v>INTEGRA Saloon</v>
      </c>
      <c r="D531" t="str">
        <f t="shared" si="17"/>
        <v>1.5</v>
      </c>
      <c r="E531" t="s">
        <v>26</v>
      </c>
      <c r="F531">
        <v>198501</v>
      </c>
      <c r="G531">
        <v>199012</v>
      </c>
      <c r="H531">
        <v>63</v>
      </c>
      <c r="I531">
        <v>85</v>
      </c>
      <c r="J531">
        <v>1488</v>
      </c>
      <c r="K531">
        <v>2738675</v>
      </c>
      <c r="L531" t="s">
        <v>1177</v>
      </c>
      <c r="M531" t="str">
        <f>"1336"</f>
        <v>1336</v>
      </c>
      <c r="N531" t="str">
        <f>"1336"</f>
        <v>1336</v>
      </c>
      <c r="O531" t="str">
        <f>""</f>
        <v/>
      </c>
      <c r="P531" t="s">
        <v>1200</v>
      </c>
      <c r="Q531" t="str">
        <f>""</f>
        <v/>
      </c>
      <c r="S531" t="s">
        <v>1199</v>
      </c>
      <c r="U531">
        <v>3224</v>
      </c>
      <c r="V531" t="s">
        <v>72</v>
      </c>
      <c r="W531" t="s">
        <v>1171</v>
      </c>
      <c r="X531" t="s">
        <v>71</v>
      </c>
      <c r="Y531" t="s">
        <v>1197</v>
      </c>
    </row>
    <row r="532" spans="1:25">
      <c r="A532">
        <v>13527</v>
      </c>
      <c r="B532" t="s">
        <v>25</v>
      </c>
      <c r="C532" t="str">
        <f t="shared" si="16"/>
        <v>INTEGRA Saloon</v>
      </c>
      <c r="D532" t="str">
        <f t="shared" si="17"/>
        <v>1.5</v>
      </c>
      <c r="E532" t="s">
        <v>26</v>
      </c>
      <c r="F532">
        <v>198501</v>
      </c>
      <c r="G532">
        <v>199012</v>
      </c>
      <c r="H532">
        <v>63</v>
      </c>
      <c r="I532">
        <v>85</v>
      </c>
      <c r="J532">
        <v>1488</v>
      </c>
      <c r="K532">
        <v>2738676</v>
      </c>
      <c r="L532" t="s">
        <v>1177</v>
      </c>
      <c r="M532" t="str">
        <f>"1347"</f>
        <v>1347</v>
      </c>
      <c r="N532" t="str">
        <f>"1347"</f>
        <v>1347</v>
      </c>
      <c r="O532" t="str">
        <f>""</f>
        <v/>
      </c>
      <c r="P532" t="s">
        <v>1200</v>
      </c>
      <c r="Q532" t="str">
        <f>""</f>
        <v/>
      </c>
      <c r="S532" t="s">
        <v>1199</v>
      </c>
      <c r="U532">
        <v>3224</v>
      </c>
      <c r="V532" t="s">
        <v>72</v>
      </c>
      <c r="W532" t="s">
        <v>1171</v>
      </c>
      <c r="X532" t="s">
        <v>71</v>
      </c>
      <c r="Y532" t="s">
        <v>1197</v>
      </c>
    </row>
    <row r="533" spans="1:25">
      <c r="A533">
        <v>13527</v>
      </c>
      <c r="B533" t="s">
        <v>25</v>
      </c>
      <c r="C533" t="str">
        <f t="shared" si="16"/>
        <v>INTEGRA Saloon</v>
      </c>
      <c r="D533" t="str">
        <f t="shared" si="17"/>
        <v>1.5</v>
      </c>
      <c r="E533" t="s">
        <v>26</v>
      </c>
      <c r="F533">
        <v>198501</v>
      </c>
      <c r="G533">
        <v>199012</v>
      </c>
      <c r="H533">
        <v>63</v>
      </c>
      <c r="I533">
        <v>85</v>
      </c>
      <c r="J533">
        <v>1488</v>
      </c>
      <c r="K533">
        <v>2739441</v>
      </c>
      <c r="L533" t="s">
        <v>1180</v>
      </c>
      <c r="M533" t="str">
        <f>"1336"</f>
        <v>1336</v>
      </c>
      <c r="N533" t="str">
        <f>"1336"</f>
        <v>1336</v>
      </c>
      <c r="O533" t="str">
        <f>""</f>
        <v/>
      </c>
      <c r="P533" t="s">
        <v>1200</v>
      </c>
      <c r="Q533" t="str">
        <f>""</f>
        <v/>
      </c>
      <c r="S533" t="s">
        <v>1199</v>
      </c>
      <c r="U533">
        <v>3224</v>
      </c>
      <c r="V533" t="s">
        <v>72</v>
      </c>
      <c r="W533" t="s">
        <v>1171</v>
      </c>
      <c r="X533" t="s">
        <v>71</v>
      </c>
      <c r="Y533" t="s">
        <v>1197</v>
      </c>
    </row>
    <row r="534" spans="1:25">
      <c r="A534">
        <v>13527</v>
      </c>
      <c r="B534" t="s">
        <v>25</v>
      </c>
      <c r="C534" t="str">
        <f t="shared" si="16"/>
        <v>INTEGRA Saloon</v>
      </c>
      <c r="D534" t="str">
        <f t="shared" si="17"/>
        <v>1.5</v>
      </c>
      <c r="E534" t="s">
        <v>26</v>
      </c>
      <c r="F534">
        <v>198501</v>
      </c>
      <c r="G534">
        <v>199012</v>
      </c>
      <c r="H534">
        <v>63</v>
      </c>
      <c r="I534">
        <v>85</v>
      </c>
      <c r="J534">
        <v>1488</v>
      </c>
      <c r="K534">
        <v>2739442</v>
      </c>
      <c r="L534" t="s">
        <v>1180</v>
      </c>
      <c r="M534" t="str">
        <f>"1347"</f>
        <v>1347</v>
      </c>
      <c r="N534" t="str">
        <f>"1347"</f>
        <v>1347</v>
      </c>
      <c r="O534" t="str">
        <f>""</f>
        <v/>
      </c>
      <c r="P534" t="s">
        <v>1200</v>
      </c>
      <c r="Q534" t="str">
        <f>""</f>
        <v/>
      </c>
      <c r="S534" t="s">
        <v>1199</v>
      </c>
      <c r="U534">
        <v>3224</v>
      </c>
      <c r="V534" t="s">
        <v>72</v>
      </c>
      <c r="W534" t="s">
        <v>1171</v>
      </c>
      <c r="X534" t="s">
        <v>71</v>
      </c>
      <c r="Y534" t="s">
        <v>1197</v>
      </c>
    </row>
    <row r="535" spans="1:25">
      <c r="A535">
        <v>13527</v>
      </c>
      <c r="B535" t="s">
        <v>25</v>
      </c>
      <c r="C535" t="str">
        <f t="shared" si="16"/>
        <v>INTEGRA Saloon</v>
      </c>
      <c r="D535" t="str">
        <f t="shared" si="17"/>
        <v>1.5</v>
      </c>
      <c r="E535" t="s">
        <v>26</v>
      </c>
      <c r="F535">
        <v>198501</v>
      </c>
      <c r="G535">
        <v>199012</v>
      </c>
      <c r="H535">
        <v>63</v>
      </c>
      <c r="I535">
        <v>85</v>
      </c>
      <c r="J535">
        <v>1488</v>
      </c>
      <c r="K535">
        <v>2740208</v>
      </c>
      <c r="L535" t="s">
        <v>1180</v>
      </c>
      <c r="M535" t="str">
        <f>"836"</f>
        <v>836</v>
      </c>
      <c r="N535" t="str">
        <f>"836"</f>
        <v>836</v>
      </c>
      <c r="O535" t="str">
        <f>""</f>
        <v/>
      </c>
      <c r="P535" t="s">
        <v>1200</v>
      </c>
      <c r="Q535" t="str">
        <f>""</f>
        <v/>
      </c>
      <c r="S535" t="s">
        <v>1199</v>
      </c>
      <c r="U535">
        <v>3224</v>
      </c>
      <c r="V535" t="s">
        <v>72</v>
      </c>
      <c r="W535" t="s">
        <v>1171</v>
      </c>
      <c r="X535" t="s">
        <v>71</v>
      </c>
      <c r="Y535" t="s">
        <v>1197</v>
      </c>
    </row>
    <row r="536" spans="1:25">
      <c r="A536">
        <v>13527</v>
      </c>
      <c r="B536" t="s">
        <v>25</v>
      </c>
      <c r="C536" t="str">
        <f t="shared" si="16"/>
        <v>INTEGRA Saloon</v>
      </c>
      <c r="D536" t="str">
        <f t="shared" si="17"/>
        <v>1.5</v>
      </c>
      <c r="E536" t="s">
        <v>26</v>
      </c>
      <c r="F536">
        <v>198501</v>
      </c>
      <c r="G536">
        <v>199012</v>
      </c>
      <c r="H536">
        <v>63</v>
      </c>
      <c r="I536">
        <v>85</v>
      </c>
      <c r="J536">
        <v>1488</v>
      </c>
      <c r="K536">
        <v>2740209</v>
      </c>
      <c r="L536" t="s">
        <v>1180</v>
      </c>
      <c r="M536" t="str">
        <f>"847"</f>
        <v>847</v>
      </c>
      <c r="N536" t="str">
        <f>"847"</f>
        <v>847</v>
      </c>
      <c r="O536" t="str">
        <f>""</f>
        <v/>
      </c>
      <c r="P536" t="s">
        <v>1200</v>
      </c>
      <c r="Q536" t="str">
        <f>""</f>
        <v/>
      </c>
      <c r="S536" t="s">
        <v>1199</v>
      </c>
      <c r="U536">
        <v>3224</v>
      </c>
      <c r="V536" t="s">
        <v>72</v>
      </c>
      <c r="W536" t="s">
        <v>1171</v>
      </c>
      <c r="X536" t="s">
        <v>71</v>
      </c>
      <c r="Y536" t="s">
        <v>1197</v>
      </c>
    </row>
    <row r="537" spans="1:25">
      <c r="A537">
        <v>13527</v>
      </c>
      <c r="B537" t="s">
        <v>25</v>
      </c>
      <c r="C537" t="str">
        <f t="shared" si="16"/>
        <v>INTEGRA Saloon</v>
      </c>
      <c r="D537" t="str">
        <f t="shared" si="17"/>
        <v>1.5</v>
      </c>
      <c r="E537" t="s">
        <v>26</v>
      </c>
      <c r="F537">
        <v>198501</v>
      </c>
      <c r="G537">
        <v>199012</v>
      </c>
      <c r="H537">
        <v>63</v>
      </c>
      <c r="I537">
        <v>85</v>
      </c>
      <c r="J537">
        <v>1488</v>
      </c>
      <c r="K537">
        <v>2861463</v>
      </c>
      <c r="L537" t="s">
        <v>1181</v>
      </c>
      <c r="M537" t="str">
        <f>"0078"</f>
        <v>0078</v>
      </c>
      <c r="N537" t="str">
        <f>"0078"</f>
        <v>0078</v>
      </c>
      <c r="O537" t="str">
        <f>""</f>
        <v/>
      </c>
      <c r="P537" t="s">
        <v>1201</v>
      </c>
      <c r="Q537" t="str">
        <f>""</f>
        <v/>
      </c>
      <c r="S537" t="s">
        <v>1199</v>
      </c>
      <c r="U537">
        <v>3224</v>
      </c>
      <c r="V537" t="s">
        <v>72</v>
      </c>
      <c r="W537" t="s">
        <v>1171</v>
      </c>
      <c r="X537" t="s">
        <v>71</v>
      </c>
      <c r="Y537" t="s">
        <v>1197</v>
      </c>
    </row>
    <row r="538" spans="1:25">
      <c r="A538">
        <v>13527</v>
      </c>
      <c r="B538" t="s">
        <v>25</v>
      </c>
      <c r="C538" t="str">
        <f t="shared" si="16"/>
        <v>INTEGRA Saloon</v>
      </c>
      <c r="D538" t="str">
        <f t="shared" si="17"/>
        <v>1.5</v>
      </c>
      <c r="E538" t="s">
        <v>26</v>
      </c>
      <c r="F538">
        <v>198501</v>
      </c>
      <c r="G538">
        <v>199012</v>
      </c>
      <c r="H538">
        <v>63</v>
      </c>
      <c r="I538">
        <v>85</v>
      </c>
      <c r="J538">
        <v>1488</v>
      </c>
      <c r="K538">
        <v>2861469</v>
      </c>
      <c r="L538" t="s">
        <v>1181</v>
      </c>
      <c r="M538" t="str">
        <f>"0080"</f>
        <v>0080</v>
      </c>
      <c r="N538" t="str">
        <f>"0080"</f>
        <v>0080</v>
      </c>
      <c r="O538" t="str">
        <f>""</f>
        <v/>
      </c>
      <c r="P538" t="s">
        <v>1198</v>
      </c>
      <c r="Q538" t="str">
        <f>""</f>
        <v/>
      </c>
      <c r="S538" t="s">
        <v>1199</v>
      </c>
      <c r="U538">
        <v>3224</v>
      </c>
      <c r="V538" t="s">
        <v>72</v>
      </c>
      <c r="W538" t="s">
        <v>1171</v>
      </c>
      <c r="X538" t="s">
        <v>71</v>
      </c>
      <c r="Y538" t="s">
        <v>1197</v>
      </c>
    </row>
    <row r="539" spans="1:25">
      <c r="A539">
        <v>13527</v>
      </c>
      <c r="B539" t="s">
        <v>25</v>
      </c>
      <c r="C539" t="str">
        <f t="shared" si="16"/>
        <v>INTEGRA Saloon</v>
      </c>
      <c r="D539" t="str">
        <f t="shared" si="17"/>
        <v>1.5</v>
      </c>
      <c r="E539" t="s">
        <v>26</v>
      </c>
      <c r="F539">
        <v>198501</v>
      </c>
      <c r="G539">
        <v>199012</v>
      </c>
      <c r="H539">
        <v>63</v>
      </c>
      <c r="I539">
        <v>85</v>
      </c>
      <c r="J539">
        <v>1488</v>
      </c>
      <c r="K539">
        <v>2861478</v>
      </c>
      <c r="L539" t="s">
        <v>1181</v>
      </c>
      <c r="M539" t="str">
        <f>"0082"</f>
        <v>0082</v>
      </c>
      <c r="N539" t="str">
        <f>"0082"</f>
        <v>0082</v>
      </c>
      <c r="O539" t="str">
        <f>""</f>
        <v/>
      </c>
      <c r="P539" t="s">
        <v>1198</v>
      </c>
      <c r="Q539" t="str">
        <f>""</f>
        <v/>
      </c>
      <c r="S539" t="s">
        <v>1199</v>
      </c>
      <c r="U539">
        <v>3224</v>
      </c>
      <c r="V539" t="s">
        <v>72</v>
      </c>
      <c r="W539" t="s">
        <v>1171</v>
      </c>
      <c r="X539" t="s">
        <v>71</v>
      </c>
      <c r="Y539" t="s">
        <v>1197</v>
      </c>
    </row>
    <row r="540" spans="1:25">
      <c r="A540">
        <v>13527</v>
      </c>
      <c r="B540" t="s">
        <v>25</v>
      </c>
      <c r="C540" t="str">
        <f t="shared" si="16"/>
        <v>INTEGRA Saloon</v>
      </c>
      <c r="D540" t="str">
        <f t="shared" si="17"/>
        <v>1.5</v>
      </c>
      <c r="E540" t="s">
        <v>26</v>
      </c>
      <c r="F540">
        <v>198501</v>
      </c>
      <c r="G540">
        <v>199012</v>
      </c>
      <c r="H540">
        <v>63</v>
      </c>
      <c r="I540">
        <v>85</v>
      </c>
      <c r="J540">
        <v>1488</v>
      </c>
      <c r="K540">
        <v>2861494</v>
      </c>
      <c r="L540" t="s">
        <v>1181</v>
      </c>
      <c r="M540" t="str">
        <f>"0161"</f>
        <v>0161</v>
      </c>
      <c r="N540" t="str">
        <f>"0161"</f>
        <v>0161</v>
      </c>
      <c r="O540" t="str">
        <f>""</f>
        <v/>
      </c>
      <c r="P540" t="s">
        <v>1198</v>
      </c>
      <c r="Q540" t="str">
        <f>""</f>
        <v/>
      </c>
      <c r="S540" t="s">
        <v>1199</v>
      </c>
      <c r="U540">
        <v>3224</v>
      </c>
      <c r="V540" t="s">
        <v>72</v>
      </c>
      <c r="W540" t="s">
        <v>1171</v>
      </c>
      <c r="X540" t="s">
        <v>71</v>
      </c>
      <c r="Y540" t="s">
        <v>1197</v>
      </c>
    </row>
    <row r="541" spans="1:25">
      <c r="A541">
        <v>13527</v>
      </c>
      <c r="B541" t="s">
        <v>25</v>
      </c>
      <c r="C541" t="str">
        <f t="shared" si="16"/>
        <v>INTEGRA Saloon</v>
      </c>
      <c r="D541" t="str">
        <f t="shared" si="17"/>
        <v>1.5</v>
      </c>
      <c r="E541" t="s">
        <v>26</v>
      </c>
      <c r="F541">
        <v>198501</v>
      </c>
      <c r="G541">
        <v>199012</v>
      </c>
      <c r="H541">
        <v>63</v>
      </c>
      <c r="I541">
        <v>85</v>
      </c>
      <c r="J541">
        <v>1488</v>
      </c>
      <c r="K541">
        <v>2861499</v>
      </c>
      <c r="L541" t="s">
        <v>1181</v>
      </c>
      <c r="M541" t="str">
        <f>"0183"</f>
        <v>0183</v>
      </c>
      <c r="N541" t="str">
        <f>"0183"</f>
        <v>0183</v>
      </c>
      <c r="O541" t="str">
        <f>""</f>
        <v/>
      </c>
      <c r="P541" t="s">
        <v>1201</v>
      </c>
      <c r="Q541" t="str">
        <f>""</f>
        <v/>
      </c>
      <c r="S541" t="s">
        <v>1199</v>
      </c>
      <c r="U541">
        <v>3224</v>
      </c>
      <c r="V541" t="s">
        <v>72</v>
      </c>
      <c r="W541" t="s">
        <v>1171</v>
      </c>
      <c r="X541" t="s">
        <v>71</v>
      </c>
      <c r="Y541" t="s">
        <v>1197</v>
      </c>
    </row>
    <row r="542" spans="1:25">
      <c r="A542">
        <v>13527</v>
      </c>
      <c r="B542" t="s">
        <v>25</v>
      </c>
      <c r="C542" t="str">
        <f t="shared" si="16"/>
        <v>INTEGRA Saloon</v>
      </c>
      <c r="D542" t="str">
        <f t="shared" si="17"/>
        <v>1.5</v>
      </c>
      <c r="E542" t="s">
        <v>26</v>
      </c>
      <c r="F542">
        <v>198501</v>
      </c>
      <c r="G542">
        <v>199012</v>
      </c>
      <c r="H542">
        <v>63</v>
      </c>
      <c r="I542">
        <v>85</v>
      </c>
      <c r="J542">
        <v>1488</v>
      </c>
      <c r="K542">
        <v>2861664</v>
      </c>
      <c r="L542" t="s">
        <v>1181</v>
      </c>
      <c r="M542" t="str">
        <f>"1433"</f>
        <v>1433</v>
      </c>
      <c r="N542" t="str">
        <f>"1433"</f>
        <v>1433</v>
      </c>
      <c r="O542" t="str">
        <f>""</f>
        <v/>
      </c>
      <c r="P542" t="s">
        <v>1202</v>
      </c>
      <c r="Q542" t="str">
        <f>""</f>
        <v/>
      </c>
      <c r="S542" t="s">
        <v>1199</v>
      </c>
      <c r="U542">
        <v>3224</v>
      </c>
      <c r="V542" t="s">
        <v>72</v>
      </c>
      <c r="W542" t="s">
        <v>1171</v>
      </c>
      <c r="X542" t="s">
        <v>71</v>
      </c>
      <c r="Y542" t="s">
        <v>1197</v>
      </c>
    </row>
    <row r="543" spans="1:25">
      <c r="A543">
        <v>13527</v>
      </c>
      <c r="B543" t="s">
        <v>25</v>
      </c>
      <c r="C543" t="str">
        <f t="shared" si="16"/>
        <v>INTEGRA Saloon</v>
      </c>
      <c r="D543" t="str">
        <f t="shared" si="17"/>
        <v>1.5</v>
      </c>
      <c r="E543" t="s">
        <v>26</v>
      </c>
      <c r="F543">
        <v>198501</v>
      </c>
      <c r="G543">
        <v>199012</v>
      </c>
      <c r="H543">
        <v>63</v>
      </c>
      <c r="I543">
        <v>85</v>
      </c>
      <c r="J543">
        <v>1488</v>
      </c>
      <c r="K543">
        <v>2861985</v>
      </c>
      <c r="L543" t="s">
        <v>1181</v>
      </c>
      <c r="M543" t="str">
        <f>"GTXA3B315W40"</f>
        <v>GTXA3B315W40</v>
      </c>
      <c r="N543" t="str">
        <f>"GTX A3/B3 15W-40"</f>
        <v>GTX A3/B3 15W-40</v>
      </c>
      <c r="O543" t="str">
        <f>""</f>
        <v/>
      </c>
      <c r="P543" t="s">
        <v>1203</v>
      </c>
      <c r="Q543" t="str">
        <f>""</f>
        <v/>
      </c>
      <c r="S543" t="s">
        <v>1204</v>
      </c>
      <c r="U543">
        <v>3224</v>
      </c>
      <c r="V543" t="s">
        <v>72</v>
      </c>
      <c r="W543" t="s">
        <v>1171</v>
      </c>
      <c r="X543" t="s">
        <v>71</v>
      </c>
      <c r="Y543" t="s">
        <v>1197</v>
      </c>
    </row>
    <row r="544" spans="1:25">
      <c r="A544">
        <v>13527</v>
      </c>
      <c r="B544" t="s">
        <v>25</v>
      </c>
      <c r="C544" t="str">
        <f t="shared" si="16"/>
        <v>INTEGRA Saloon</v>
      </c>
      <c r="D544" t="str">
        <f t="shared" si="17"/>
        <v>1.5</v>
      </c>
      <c r="E544" t="s">
        <v>26</v>
      </c>
      <c r="F544">
        <v>198501</v>
      </c>
      <c r="G544">
        <v>199012</v>
      </c>
      <c r="H544">
        <v>63</v>
      </c>
      <c r="I544">
        <v>85</v>
      </c>
      <c r="J544">
        <v>1488</v>
      </c>
      <c r="K544">
        <v>2861992</v>
      </c>
      <c r="L544" t="s">
        <v>1181</v>
      </c>
      <c r="M544" t="str">
        <f>"MAGNATECA15W30"</f>
        <v>MAGNATECA15W30</v>
      </c>
      <c r="N544" t="str">
        <f>"Magnatec A1 5W-30"</f>
        <v>Magnatec A1 5W-30</v>
      </c>
      <c r="O544" t="str">
        <f>""</f>
        <v/>
      </c>
      <c r="P544" t="s">
        <v>1203</v>
      </c>
      <c r="Q544" t="str">
        <f>""</f>
        <v/>
      </c>
      <c r="S544" t="s">
        <v>1204</v>
      </c>
      <c r="U544">
        <v>3224</v>
      </c>
      <c r="V544" t="s">
        <v>72</v>
      </c>
      <c r="W544" t="s">
        <v>1171</v>
      </c>
      <c r="X544" t="s">
        <v>71</v>
      </c>
      <c r="Y544" t="s">
        <v>1197</v>
      </c>
    </row>
    <row r="545" spans="1:25">
      <c r="A545">
        <v>13527</v>
      </c>
      <c r="B545" t="s">
        <v>25</v>
      </c>
      <c r="C545" t="str">
        <f t="shared" si="16"/>
        <v>INTEGRA Saloon</v>
      </c>
      <c r="D545" t="str">
        <f t="shared" si="17"/>
        <v>1.5</v>
      </c>
      <c r="E545" t="s">
        <v>26</v>
      </c>
      <c r="F545">
        <v>198501</v>
      </c>
      <c r="G545">
        <v>199012</v>
      </c>
      <c r="H545">
        <v>63</v>
      </c>
      <c r="I545">
        <v>85</v>
      </c>
      <c r="J545">
        <v>1488</v>
      </c>
      <c r="K545">
        <v>2861993</v>
      </c>
      <c r="L545" t="s">
        <v>1181</v>
      </c>
      <c r="M545" t="str">
        <f>"MAGNATECA3B410W40"</f>
        <v>MAGNATECA3B410W40</v>
      </c>
      <c r="N545" t="str">
        <f>"Magnatec A3/B4 10W-40"</f>
        <v>Magnatec A3/B4 10W-40</v>
      </c>
      <c r="O545" t="str">
        <f>""</f>
        <v/>
      </c>
      <c r="P545" t="s">
        <v>1203</v>
      </c>
      <c r="Q545" t="str">
        <f>""</f>
        <v/>
      </c>
      <c r="S545" t="s">
        <v>1204</v>
      </c>
      <c r="U545">
        <v>3224</v>
      </c>
      <c r="V545" t="s">
        <v>72</v>
      </c>
      <c r="W545" t="s">
        <v>1171</v>
      </c>
      <c r="X545" t="s">
        <v>71</v>
      </c>
      <c r="Y545" t="s">
        <v>1197</v>
      </c>
    </row>
    <row r="546" spans="1:25">
      <c r="A546">
        <v>13527</v>
      </c>
      <c r="B546" t="s">
        <v>25</v>
      </c>
      <c r="C546" t="str">
        <f t="shared" si="16"/>
        <v>INTEGRA Saloon</v>
      </c>
      <c r="D546" t="str">
        <f t="shared" si="17"/>
        <v>1.5</v>
      </c>
      <c r="E546" t="s">
        <v>26</v>
      </c>
      <c r="F546">
        <v>198501</v>
      </c>
      <c r="G546">
        <v>199012</v>
      </c>
      <c r="H546">
        <v>63</v>
      </c>
      <c r="I546">
        <v>85</v>
      </c>
      <c r="J546">
        <v>1488</v>
      </c>
      <c r="K546">
        <v>3634230</v>
      </c>
      <c r="L546" t="s">
        <v>1184</v>
      </c>
      <c r="M546" t="str">
        <f>"VTSYNTECH10W40"</f>
        <v>VTSYNTECH10W40</v>
      </c>
      <c r="N546" t="str">
        <f>"VTSYNTECH10W40"</f>
        <v>VTSYNTECH10W40</v>
      </c>
      <c r="O546" t="str">
        <f>""</f>
        <v/>
      </c>
      <c r="P546" t="s">
        <v>1195</v>
      </c>
      <c r="Q546" t="str">
        <f>""</f>
        <v/>
      </c>
      <c r="S546" t="s">
        <v>1199</v>
      </c>
      <c r="U546">
        <v>3224</v>
      </c>
      <c r="V546" t="s">
        <v>72</v>
      </c>
      <c r="W546" t="s">
        <v>1171</v>
      </c>
      <c r="X546" t="s">
        <v>71</v>
      </c>
      <c r="Y546" t="s">
        <v>1197</v>
      </c>
    </row>
    <row r="547" spans="1:25">
      <c r="A547">
        <v>13527</v>
      </c>
      <c r="B547" t="s">
        <v>25</v>
      </c>
      <c r="C547" t="str">
        <f t="shared" si="16"/>
        <v>INTEGRA Saloon</v>
      </c>
      <c r="D547" t="str">
        <f t="shared" si="17"/>
        <v>1.5</v>
      </c>
      <c r="E547" t="s">
        <v>26</v>
      </c>
      <c r="F547">
        <v>198501</v>
      </c>
      <c r="G547">
        <v>199012</v>
      </c>
      <c r="H547">
        <v>63</v>
      </c>
      <c r="I547">
        <v>85</v>
      </c>
      <c r="J547">
        <v>1488</v>
      </c>
      <c r="K547">
        <v>3634249</v>
      </c>
      <c r="L547" t="s">
        <v>1184</v>
      </c>
      <c r="M547" t="str">
        <f>"VTTURBOPL15W40"</f>
        <v>VTTURBOPL15W40</v>
      </c>
      <c r="N547" t="str">
        <f>"VTTURBOPL15W40"</f>
        <v>VTTURBOPL15W40</v>
      </c>
      <c r="O547" t="str">
        <f>""</f>
        <v/>
      </c>
      <c r="P547" t="s">
        <v>1195</v>
      </c>
      <c r="Q547" t="str">
        <f>""</f>
        <v/>
      </c>
      <c r="S547" t="s">
        <v>1199</v>
      </c>
      <c r="U547">
        <v>3224</v>
      </c>
      <c r="V547" t="s">
        <v>72</v>
      </c>
      <c r="W547" t="s">
        <v>1171</v>
      </c>
      <c r="X547" t="s">
        <v>71</v>
      </c>
      <c r="Y547" t="s">
        <v>1197</v>
      </c>
    </row>
    <row r="548" spans="1:25">
      <c r="A548">
        <v>13527</v>
      </c>
      <c r="B548" t="s">
        <v>25</v>
      </c>
      <c r="C548" t="str">
        <f t="shared" si="16"/>
        <v>INTEGRA Saloon</v>
      </c>
      <c r="D548" t="str">
        <f t="shared" si="17"/>
        <v>1.5</v>
      </c>
      <c r="E548" t="s">
        <v>26</v>
      </c>
      <c r="F548">
        <v>198501</v>
      </c>
      <c r="G548">
        <v>199012</v>
      </c>
      <c r="H548">
        <v>63</v>
      </c>
      <c r="I548">
        <v>85</v>
      </c>
      <c r="J548">
        <v>1488</v>
      </c>
      <c r="K548">
        <v>3748202</v>
      </c>
      <c r="L548" t="s">
        <v>1185</v>
      </c>
      <c r="M548" t="str">
        <f>"E100010"</f>
        <v>E100010</v>
      </c>
      <c r="N548" t="str">
        <f>"E100010"</f>
        <v>E100010</v>
      </c>
      <c r="O548" t="str">
        <f>""</f>
        <v/>
      </c>
      <c r="P548" t="s">
        <v>1205</v>
      </c>
      <c r="Q548" t="str">
        <f>""</f>
        <v/>
      </c>
      <c r="S548" t="s">
        <v>1206</v>
      </c>
      <c r="U548">
        <v>3224</v>
      </c>
      <c r="V548" t="s">
        <v>72</v>
      </c>
      <c r="W548" t="s">
        <v>1171</v>
      </c>
      <c r="X548" t="s">
        <v>71</v>
      </c>
      <c r="Y548" t="s">
        <v>1197</v>
      </c>
    </row>
    <row r="549" spans="1:25">
      <c r="A549">
        <v>13527</v>
      </c>
      <c r="B549" t="s">
        <v>25</v>
      </c>
      <c r="C549" t="str">
        <f t="shared" si="16"/>
        <v>INTEGRA Saloon</v>
      </c>
      <c r="D549" t="str">
        <f t="shared" si="17"/>
        <v>1.5</v>
      </c>
      <c r="E549" t="s">
        <v>26</v>
      </c>
      <c r="F549">
        <v>198501</v>
      </c>
      <c r="G549">
        <v>199012</v>
      </c>
      <c r="H549">
        <v>63</v>
      </c>
      <c r="I549">
        <v>85</v>
      </c>
      <c r="J549">
        <v>1488</v>
      </c>
      <c r="K549">
        <v>3748207</v>
      </c>
      <c r="L549" t="s">
        <v>1185</v>
      </c>
      <c r="M549" t="str">
        <f>"E100020"</f>
        <v>E100020</v>
      </c>
      <c r="N549" t="str">
        <f>"E100020"</f>
        <v>E100020</v>
      </c>
      <c r="O549" t="str">
        <f>""</f>
        <v/>
      </c>
      <c r="P549" t="s">
        <v>1200</v>
      </c>
      <c r="Q549" t="str">
        <f>""</f>
        <v/>
      </c>
      <c r="S549" t="s">
        <v>1206</v>
      </c>
      <c r="U549">
        <v>3224</v>
      </c>
      <c r="V549" t="s">
        <v>72</v>
      </c>
      <c r="W549" t="s">
        <v>1171</v>
      </c>
      <c r="X549" t="s">
        <v>71</v>
      </c>
      <c r="Y549" t="s">
        <v>1197</v>
      </c>
    </row>
    <row r="550" spans="1:25">
      <c r="A550">
        <v>13527</v>
      </c>
      <c r="B550" t="s">
        <v>25</v>
      </c>
      <c r="C550" t="str">
        <f t="shared" si="16"/>
        <v>INTEGRA Saloon</v>
      </c>
      <c r="D550" t="str">
        <f t="shared" si="17"/>
        <v>1.5</v>
      </c>
      <c r="E550" t="s">
        <v>26</v>
      </c>
      <c r="F550">
        <v>198501</v>
      </c>
      <c r="G550">
        <v>199012</v>
      </c>
      <c r="H550">
        <v>63</v>
      </c>
      <c r="I550">
        <v>85</v>
      </c>
      <c r="J550">
        <v>1488</v>
      </c>
      <c r="K550">
        <v>3748240</v>
      </c>
      <c r="L550" t="s">
        <v>1185</v>
      </c>
      <c r="M550" t="str">
        <f>"E100045"</f>
        <v>E100045</v>
      </c>
      <c r="N550" t="str">
        <f>"E100045"</f>
        <v>E100045</v>
      </c>
      <c r="O550" t="str">
        <f>""</f>
        <v/>
      </c>
      <c r="P550" t="s">
        <v>1200</v>
      </c>
      <c r="Q550" t="str">
        <f>""</f>
        <v/>
      </c>
      <c r="S550" t="s">
        <v>1199</v>
      </c>
      <c r="U550">
        <v>3224</v>
      </c>
      <c r="V550" t="s">
        <v>72</v>
      </c>
      <c r="W550" t="s">
        <v>1171</v>
      </c>
      <c r="X550" t="s">
        <v>71</v>
      </c>
      <c r="Y550" t="s">
        <v>1197</v>
      </c>
    </row>
    <row r="551" spans="1:25">
      <c r="A551">
        <v>13527</v>
      </c>
      <c r="B551" t="s">
        <v>25</v>
      </c>
      <c r="C551" t="str">
        <f t="shared" si="16"/>
        <v>INTEGRA Saloon</v>
      </c>
      <c r="D551" t="str">
        <f t="shared" si="17"/>
        <v>1.5</v>
      </c>
      <c r="E551" t="s">
        <v>26</v>
      </c>
      <c r="F551">
        <v>198501</v>
      </c>
      <c r="G551">
        <v>199012</v>
      </c>
      <c r="H551">
        <v>63</v>
      </c>
      <c r="I551">
        <v>85</v>
      </c>
      <c r="J551">
        <v>1488</v>
      </c>
      <c r="K551">
        <v>3748367</v>
      </c>
      <c r="L551" t="s">
        <v>1185</v>
      </c>
      <c r="M551" t="str">
        <f>"E100096"</f>
        <v>E100096</v>
      </c>
      <c r="N551" t="str">
        <f>"E100096"</f>
        <v>E100096</v>
      </c>
      <c r="O551" t="str">
        <f>""</f>
        <v/>
      </c>
      <c r="P551" t="s">
        <v>1207</v>
      </c>
      <c r="Q551" t="str">
        <f>""</f>
        <v/>
      </c>
      <c r="S551" t="s">
        <v>1206</v>
      </c>
      <c r="U551">
        <v>3224</v>
      </c>
      <c r="V551" t="s">
        <v>72</v>
      </c>
      <c r="W551" t="s">
        <v>1171</v>
      </c>
      <c r="X551" t="s">
        <v>71</v>
      </c>
      <c r="Y551" t="s">
        <v>1197</v>
      </c>
    </row>
    <row r="552" spans="1:25">
      <c r="A552">
        <v>13527</v>
      </c>
      <c r="B552" t="s">
        <v>25</v>
      </c>
      <c r="C552" t="str">
        <f t="shared" si="16"/>
        <v>INTEGRA Saloon</v>
      </c>
      <c r="D552" t="str">
        <f t="shared" si="17"/>
        <v>1.5</v>
      </c>
      <c r="E552" t="s">
        <v>26</v>
      </c>
      <c r="F552">
        <v>198501</v>
      </c>
      <c r="G552">
        <v>199012</v>
      </c>
      <c r="H552">
        <v>63</v>
      </c>
      <c r="I552">
        <v>85</v>
      </c>
      <c r="J552">
        <v>1488</v>
      </c>
      <c r="K552">
        <v>3748406</v>
      </c>
      <c r="L552" t="s">
        <v>1185</v>
      </c>
      <c r="M552" t="str">
        <f>"E100125"</f>
        <v>E100125</v>
      </c>
      <c r="N552" t="str">
        <f>"E100125"</f>
        <v>E100125</v>
      </c>
      <c r="O552" t="str">
        <f>""</f>
        <v/>
      </c>
      <c r="P552" t="s">
        <v>1207</v>
      </c>
      <c r="Q552" t="str">
        <f>""</f>
        <v/>
      </c>
      <c r="S552" t="s">
        <v>1206</v>
      </c>
      <c r="U552">
        <v>3224</v>
      </c>
      <c r="V552" t="s">
        <v>72</v>
      </c>
      <c r="W552" t="s">
        <v>1171</v>
      </c>
      <c r="X552" t="s">
        <v>71</v>
      </c>
      <c r="Y552" t="s">
        <v>1197</v>
      </c>
    </row>
    <row r="553" spans="1:25">
      <c r="A553">
        <v>13527</v>
      </c>
      <c r="B553" t="s">
        <v>25</v>
      </c>
      <c r="C553" t="str">
        <f t="shared" si="16"/>
        <v>INTEGRA Saloon</v>
      </c>
      <c r="D553" t="str">
        <f t="shared" si="17"/>
        <v>1.5</v>
      </c>
      <c r="E553" t="s">
        <v>26</v>
      </c>
      <c r="F553">
        <v>198501</v>
      </c>
      <c r="G553">
        <v>199012</v>
      </c>
      <c r="H553">
        <v>63</v>
      </c>
      <c r="I553">
        <v>85</v>
      </c>
      <c r="J553">
        <v>1488</v>
      </c>
      <c r="K553">
        <v>3920221</v>
      </c>
      <c r="L553" t="s">
        <v>1187</v>
      </c>
      <c r="M553" t="str">
        <f>"11500"</f>
        <v>11500</v>
      </c>
      <c r="N553" t="str">
        <f>"11500"</f>
        <v>11500</v>
      </c>
      <c r="O553" t="str">
        <f>""</f>
        <v/>
      </c>
      <c r="P553" t="s">
        <v>1198</v>
      </c>
      <c r="Q553" t="str">
        <f>""</f>
        <v/>
      </c>
      <c r="S553" t="s">
        <v>1208</v>
      </c>
      <c r="U553">
        <v>3224</v>
      </c>
      <c r="V553" t="s">
        <v>72</v>
      </c>
      <c r="W553" t="s">
        <v>1171</v>
      </c>
      <c r="X553" t="s">
        <v>71</v>
      </c>
      <c r="Y553" t="s">
        <v>1197</v>
      </c>
    </row>
    <row r="554" spans="1:25">
      <c r="A554">
        <v>13527</v>
      </c>
      <c r="B554" t="s">
        <v>25</v>
      </c>
      <c r="C554" t="str">
        <f t="shared" si="16"/>
        <v>INTEGRA Saloon</v>
      </c>
      <c r="D554" t="str">
        <f t="shared" si="17"/>
        <v>1.5</v>
      </c>
      <c r="E554" t="s">
        <v>26</v>
      </c>
      <c r="F554">
        <v>198501</v>
      </c>
      <c r="G554">
        <v>199012</v>
      </c>
      <c r="H554">
        <v>63</v>
      </c>
      <c r="I554">
        <v>85</v>
      </c>
      <c r="J554">
        <v>1488</v>
      </c>
      <c r="K554">
        <v>3920231</v>
      </c>
      <c r="L554" t="s">
        <v>1187</v>
      </c>
      <c r="M554" t="str">
        <f>"14300"</f>
        <v>14300</v>
      </c>
      <c r="N554" t="str">
        <f>"14300"</f>
        <v>14300</v>
      </c>
      <c r="O554" t="str">
        <f>""</f>
        <v/>
      </c>
      <c r="P554" t="s">
        <v>1198</v>
      </c>
      <c r="Q554" t="str">
        <f>""</f>
        <v/>
      </c>
      <c r="S554" t="s">
        <v>1208</v>
      </c>
      <c r="U554">
        <v>3224</v>
      </c>
      <c r="V554" t="s">
        <v>72</v>
      </c>
      <c r="W554" t="s">
        <v>1171</v>
      </c>
      <c r="X554" t="s">
        <v>71</v>
      </c>
      <c r="Y554" t="s">
        <v>1197</v>
      </c>
    </row>
    <row r="555" spans="1:25">
      <c r="A555">
        <v>13527</v>
      </c>
      <c r="B555" t="s">
        <v>25</v>
      </c>
      <c r="C555" t="str">
        <f t="shared" si="16"/>
        <v>INTEGRA Saloon</v>
      </c>
      <c r="D555" t="str">
        <f t="shared" si="17"/>
        <v>1.5</v>
      </c>
      <c r="E555" t="s">
        <v>26</v>
      </c>
      <c r="F555">
        <v>198501</v>
      </c>
      <c r="G555">
        <v>199012</v>
      </c>
      <c r="H555">
        <v>63</v>
      </c>
      <c r="I555">
        <v>85</v>
      </c>
      <c r="J555">
        <v>1488</v>
      </c>
      <c r="K555">
        <v>3920233</v>
      </c>
      <c r="L555" t="s">
        <v>1187</v>
      </c>
      <c r="M555" t="str">
        <f>"14600"</f>
        <v>14600</v>
      </c>
      <c r="N555" t="str">
        <f>"14600"</f>
        <v>14600</v>
      </c>
      <c r="O555" t="str">
        <f>""</f>
        <v/>
      </c>
      <c r="P555" t="s">
        <v>1209</v>
      </c>
      <c r="Q555" t="str">
        <f>""</f>
        <v/>
      </c>
      <c r="S555" t="s">
        <v>1208</v>
      </c>
      <c r="U555">
        <v>3224</v>
      </c>
      <c r="V555" t="s">
        <v>72</v>
      </c>
      <c r="W555" t="s">
        <v>1171</v>
      </c>
      <c r="X555" t="s">
        <v>71</v>
      </c>
      <c r="Y555" t="s">
        <v>1197</v>
      </c>
    </row>
    <row r="556" spans="1:25">
      <c r="A556">
        <v>13527</v>
      </c>
      <c r="B556" t="s">
        <v>25</v>
      </c>
      <c r="C556" t="str">
        <f t="shared" si="16"/>
        <v>INTEGRA Saloon</v>
      </c>
      <c r="D556" t="str">
        <f t="shared" si="17"/>
        <v>1.5</v>
      </c>
      <c r="E556" t="s">
        <v>26</v>
      </c>
      <c r="F556">
        <v>198501</v>
      </c>
      <c r="G556">
        <v>199012</v>
      </c>
      <c r="H556">
        <v>63</v>
      </c>
      <c r="I556">
        <v>85</v>
      </c>
      <c r="J556">
        <v>1488</v>
      </c>
      <c r="K556">
        <v>3920235</v>
      </c>
      <c r="L556" t="s">
        <v>1187</v>
      </c>
      <c r="M556" t="str">
        <f>"16100"</f>
        <v>16100</v>
      </c>
      <c r="N556" t="str">
        <f>"16100"</f>
        <v>16100</v>
      </c>
      <c r="O556" t="str">
        <f>""</f>
        <v/>
      </c>
      <c r="P556" t="s">
        <v>1198</v>
      </c>
      <c r="Q556" t="str">
        <f>""</f>
        <v/>
      </c>
      <c r="S556" t="s">
        <v>1208</v>
      </c>
      <c r="U556">
        <v>3224</v>
      </c>
      <c r="V556" t="s">
        <v>72</v>
      </c>
      <c r="W556" t="s">
        <v>1171</v>
      </c>
      <c r="X556" t="s">
        <v>71</v>
      </c>
      <c r="Y556" t="s">
        <v>1197</v>
      </c>
    </row>
    <row r="557" spans="1:25">
      <c r="A557">
        <v>13527</v>
      </c>
      <c r="B557" t="s">
        <v>25</v>
      </c>
      <c r="C557" t="str">
        <f t="shared" si="16"/>
        <v>INTEGRA Saloon</v>
      </c>
      <c r="D557" t="str">
        <f t="shared" si="17"/>
        <v>1.5</v>
      </c>
      <c r="E557" t="s">
        <v>26</v>
      </c>
      <c r="F557">
        <v>198501</v>
      </c>
      <c r="G557">
        <v>199012</v>
      </c>
      <c r="H557">
        <v>63</v>
      </c>
      <c r="I557">
        <v>85</v>
      </c>
      <c r="J557">
        <v>1488</v>
      </c>
      <c r="K557">
        <v>4083935</v>
      </c>
      <c r="L557" t="s">
        <v>1190</v>
      </c>
      <c r="M557" t="str">
        <f>"1112110"</f>
        <v>1112110</v>
      </c>
      <c r="N557" t="str">
        <f>"1112110"</f>
        <v>1112110</v>
      </c>
      <c r="O557" t="str">
        <f>""</f>
        <v/>
      </c>
      <c r="P557" t="s">
        <v>1203</v>
      </c>
      <c r="Q557" t="str">
        <f>""</f>
        <v/>
      </c>
      <c r="R557" s="1" t="s">
        <v>1210</v>
      </c>
      <c r="S557" t="s">
        <v>1199</v>
      </c>
      <c r="T557" s="1" t="s">
        <v>1211</v>
      </c>
      <c r="U557">
        <v>3224</v>
      </c>
      <c r="V557" t="s">
        <v>72</v>
      </c>
      <c r="W557" t="s">
        <v>1171</v>
      </c>
      <c r="X557" t="s">
        <v>71</v>
      </c>
      <c r="Y557" t="s">
        <v>1197</v>
      </c>
    </row>
    <row r="558" spans="1:25">
      <c r="A558">
        <v>13527</v>
      </c>
      <c r="B558" t="s">
        <v>25</v>
      </c>
      <c r="C558" t="str">
        <f t="shared" si="16"/>
        <v>INTEGRA Saloon</v>
      </c>
      <c r="D558" t="str">
        <f t="shared" si="17"/>
        <v>1.5</v>
      </c>
      <c r="E558" t="s">
        <v>26</v>
      </c>
      <c r="F558">
        <v>198501</v>
      </c>
      <c r="G558">
        <v>199012</v>
      </c>
      <c r="H558">
        <v>63</v>
      </c>
      <c r="I558">
        <v>85</v>
      </c>
      <c r="J558">
        <v>1488</v>
      </c>
      <c r="K558">
        <v>4971186</v>
      </c>
      <c r="L558" t="s">
        <v>1212</v>
      </c>
      <c r="M558" t="str">
        <f>"500090"</f>
        <v>500090</v>
      </c>
      <c r="N558" t="str">
        <f>"500090"</f>
        <v>500090</v>
      </c>
      <c r="O558" t="str">
        <f>""</f>
        <v/>
      </c>
      <c r="P558" t="s">
        <v>1195</v>
      </c>
      <c r="Q558" t="str">
        <f>""</f>
        <v/>
      </c>
      <c r="U558">
        <v>3224</v>
      </c>
      <c r="V558" t="s">
        <v>72</v>
      </c>
      <c r="W558" t="s">
        <v>1171</v>
      </c>
      <c r="X558" t="s">
        <v>71</v>
      </c>
      <c r="Y558" t="s">
        <v>1197</v>
      </c>
    </row>
    <row r="559" spans="1:25">
      <c r="A559">
        <v>13527</v>
      </c>
      <c r="B559" t="s">
        <v>25</v>
      </c>
      <c r="C559" t="str">
        <f t="shared" si="16"/>
        <v>INTEGRA Saloon</v>
      </c>
      <c r="D559" t="str">
        <f t="shared" si="17"/>
        <v>1.5</v>
      </c>
      <c r="E559" t="s">
        <v>26</v>
      </c>
      <c r="F559">
        <v>198501</v>
      </c>
      <c r="G559">
        <v>199012</v>
      </c>
      <c r="H559">
        <v>63</v>
      </c>
      <c r="I559">
        <v>85</v>
      </c>
      <c r="J559">
        <v>1488</v>
      </c>
      <c r="K559">
        <v>4971260</v>
      </c>
      <c r="L559" t="s">
        <v>1212</v>
      </c>
      <c r="M559" t="str">
        <f>"500521"</f>
        <v>500521</v>
      </c>
      <c r="N559" t="str">
        <f>"500521"</f>
        <v>500521</v>
      </c>
      <c r="O559" t="str">
        <f>""</f>
        <v/>
      </c>
      <c r="P559" t="s">
        <v>1195</v>
      </c>
      <c r="Q559" t="str">
        <f>""</f>
        <v/>
      </c>
      <c r="U559">
        <v>3224</v>
      </c>
      <c r="V559" t="s">
        <v>72</v>
      </c>
      <c r="W559" t="s">
        <v>1171</v>
      </c>
      <c r="X559" t="s">
        <v>71</v>
      </c>
      <c r="Y559" t="s">
        <v>1197</v>
      </c>
    </row>
    <row r="560" spans="1:25">
      <c r="A560">
        <v>13527</v>
      </c>
      <c r="B560" t="s">
        <v>25</v>
      </c>
      <c r="C560" t="str">
        <f t="shared" si="16"/>
        <v>INTEGRA Saloon</v>
      </c>
      <c r="D560" t="str">
        <f t="shared" si="17"/>
        <v>1.5</v>
      </c>
      <c r="E560" t="s">
        <v>26</v>
      </c>
      <c r="F560">
        <v>198501</v>
      </c>
      <c r="G560">
        <v>199012</v>
      </c>
      <c r="H560">
        <v>63</v>
      </c>
      <c r="I560">
        <v>85</v>
      </c>
      <c r="J560">
        <v>1488</v>
      </c>
      <c r="K560">
        <v>4971268</v>
      </c>
      <c r="L560" t="s">
        <v>1212</v>
      </c>
      <c r="M560" t="str">
        <f>"500591"</f>
        <v>500591</v>
      </c>
      <c r="N560" t="str">
        <f>"500591"</f>
        <v>500591</v>
      </c>
      <c r="O560" t="str">
        <f>""</f>
        <v/>
      </c>
      <c r="P560" t="s">
        <v>1195</v>
      </c>
      <c r="Q560" t="str">
        <f>""</f>
        <v/>
      </c>
      <c r="U560">
        <v>3224</v>
      </c>
      <c r="V560" t="s">
        <v>72</v>
      </c>
      <c r="W560" t="s">
        <v>1171</v>
      </c>
      <c r="X560" t="s">
        <v>71</v>
      </c>
      <c r="Y560" t="s">
        <v>1197</v>
      </c>
    </row>
    <row r="561" spans="1:25">
      <c r="A561">
        <v>13527</v>
      </c>
      <c r="B561" t="s">
        <v>25</v>
      </c>
      <c r="C561" t="str">
        <f t="shared" si="16"/>
        <v>INTEGRA Saloon</v>
      </c>
      <c r="D561" t="str">
        <f t="shared" si="17"/>
        <v>1.5</v>
      </c>
      <c r="E561" t="s">
        <v>26</v>
      </c>
      <c r="F561">
        <v>198501</v>
      </c>
      <c r="G561">
        <v>199012</v>
      </c>
      <c r="H561">
        <v>63</v>
      </c>
      <c r="I561">
        <v>85</v>
      </c>
      <c r="J561">
        <v>1488</v>
      </c>
      <c r="K561">
        <v>4971282</v>
      </c>
      <c r="L561" t="s">
        <v>1212</v>
      </c>
      <c r="M561" t="str">
        <f>"501100"</f>
        <v>501100</v>
      </c>
      <c r="N561" t="str">
        <f>"501100"</f>
        <v>501100</v>
      </c>
      <c r="O561" t="str">
        <f>""</f>
        <v/>
      </c>
      <c r="P561" t="s">
        <v>1195</v>
      </c>
      <c r="Q561" t="str">
        <f>""</f>
        <v/>
      </c>
      <c r="U561">
        <v>3224</v>
      </c>
      <c r="V561" t="s">
        <v>72</v>
      </c>
      <c r="W561" t="s">
        <v>1171</v>
      </c>
      <c r="X561" t="s">
        <v>71</v>
      </c>
      <c r="Y561" t="s">
        <v>1197</v>
      </c>
    </row>
    <row r="562" spans="1:25">
      <c r="A562">
        <v>13527</v>
      </c>
      <c r="B562" t="s">
        <v>25</v>
      </c>
      <c r="C562" t="str">
        <f t="shared" si="16"/>
        <v>INTEGRA Saloon</v>
      </c>
      <c r="D562" t="str">
        <f t="shared" si="17"/>
        <v>1.5</v>
      </c>
      <c r="E562" t="s">
        <v>26</v>
      </c>
      <c r="F562">
        <v>198501</v>
      </c>
      <c r="G562">
        <v>199012</v>
      </c>
      <c r="H562">
        <v>63</v>
      </c>
      <c r="I562">
        <v>85</v>
      </c>
      <c r="J562">
        <v>1488</v>
      </c>
      <c r="K562">
        <v>4971375</v>
      </c>
      <c r="L562" t="s">
        <v>1212</v>
      </c>
      <c r="M562" t="str">
        <f>"501881"</f>
        <v>501881</v>
      </c>
      <c r="N562" t="str">
        <f>"501881"</f>
        <v>501881</v>
      </c>
      <c r="O562" t="str">
        <f>""</f>
        <v/>
      </c>
      <c r="P562" t="s">
        <v>1195</v>
      </c>
      <c r="Q562" t="str">
        <f>""</f>
        <v/>
      </c>
      <c r="U562">
        <v>3224</v>
      </c>
      <c r="V562" t="s">
        <v>72</v>
      </c>
      <c r="W562" t="s">
        <v>1171</v>
      </c>
      <c r="X562" t="s">
        <v>71</v>
      </c>
      <c r="Y562" t="s">
        <v>1197</v>
      </c>
    </row>
    <row r="563" spans="1:25">
      <c r="A563">
        <v>13527</v>
      </c>
      <c r="B563" t="s">
        <v>25</v>
      </c>
      <c r="C563" t="str">
        <f t="shared" si="16"/>
        <v>INTEGRA Saloon</v>
      </c>
      <c r="D563" t="str">
        <f t="shared" si="17"/>
        <v>1.5</v>
      </c>
      <c r="E563" t="s">
        <v>26</v>
      </c>
      <c r="F563">
        <v>198501</v>
      </c>
      <c r="G563">
        <v>199012</v>
      </c>
      <c r="H563">
        <v>63</v>
      </c>
      <c r="I563">
        <v>85</v>
      </c>
      <c r="J563">
        <v>1488</v>
      </c>
      <c r="K563">
        <v>4971380</v>
      </c>
      <c r="L563" t="s">
        <v>1212</v>
      </c>
      <c r="M563" t="str">
        <f>"501937"</f>
        <v>501937</v>
      </c>
      <c r="N563" t="str">
        <f>"501937"</f>
        <v>501937</v>
      </c>
      <c r="O563" t="str">
        <f>""</f>
        <v/>
      </c>
      <c r="P563" t="s">
        <v>1195</v>
      </c>
      <c r="Q563" t="str">
        <f>""</f>
        <v/>
      </c>
      <c r="U563">
        <v>3224</v>
      </c>
      <c r="V563" t="s">
        <v>72</v>
      </c>
      <c r="W563" t="s">
        <v>1171</v>
      </c>
      <c r="X563" t="s">
        <v>71</v>
      </c>
      <c r="Y563" t="s">
        <v>1197</v>
      </c>
    </row>
    <row r="564" spans="1:25">
      <c r="A564">
        <v>13527</v>
      </c>
      <c r="B564" t="s">
        <v>25</v>
      </c>
      <c r="C564" t="str">
        <f t="shared" si="16"/>
        <v>INTEGRA Saloon</v>
      </c>
      <c r="D564" t="str">
        <f t="shared" si="17"/>
        <v>1.5</v>
      </c>
      <c r="E564" t="s">
        <v>26</v>
      </c>
      <c r="F564">
        <v>198501</v>
      </c>
      <c r="G564">
        <v>199012</v>
      </c>
      <c r="H564">
        <v>63</v>
      </c>
      <c r="I564">
        <v>85</v>
      </c>
      <c r="J564">
        <v>1488</v>
      </c>
      <c r="K564">
        <v>750298</v>
      </c>
      <c r="L564" t="s">
        <v>1173</v>
      </c>
      <c r="M564" t="str">
        <f>"TRONIC15W40"</f>
        <v>TRONIC15W40</v>
      </c>
      <c r="N564" t="str">
        <f>"Tronic 15W-40"</f>
        <v>Tronic 15W-40</v>
      </c>
      <c r="O564" t="str">
        <f>""</f>
        <v/>
      </c>
      <c r="P564" t="s">
        <v>1198</v>
      </c>
      <c r="Q564" t="str">
        <f>""</f>
        <v/>
      </c>
      <c r="S564" t="s">
        <v>1213</v>
      </c>
      <c r="U564">
        <v>3225</v>
      </c>
      <c r="V564" t="s">
        <v>1214</v>
      </c>
      <c r="W564" t="s">
        <v>1171</v>
      </c>
      <c r="X564" t="s">
        <v>1215</v>
      </c>
      <c r="Y564" t="s">
        <v>1215</v>
      </c>
    </row>
    <row r="565" spans="1:25">
      <c r="A565">
        <v>13527</v>
      </c>
      <c r="B565" t="s">
        <v>25</v>
      </c>
      <c r="C565" t="str">
        <f t="shared" si="16"/>
        <v>INTEGRA Saloon</v>
      </c>
      <c r="D565" t="str">
        <f t="shared" si="17"/>
        <v>1.5</v>
      </c>
      <c r="E565" t="s">
        <v>26</v>
      </c>
      <c r="F565">
        <v>198501</v>
      </c>
      <c r="G565">
        <v>199012</v>
      </c>
      <c r="H565">
        <v>63</v>
      </c>
      <c r="I565">
        <v>85</v>
      </c>
      <c r="J565">
        <v>1488</v>
      </c>
      <c r="K565">
        <v>2861463</v>
      </c>
      <c r="L565" t="s">
        <v>1181</v>
      </c>
      <c r="M565" t="str">
        <f>"0078"</f>
        <v>0078</v>
      </c>
      <c r="N565" t="str">
        <f>"0078"</f>
        <v>0078</v>
      </c>
      <c r="O565" t="str">
        <f>""</f>
        <v/>
      </c>
      <c r="P565" t="s">
        <v>1201</v>
      </c>
      <c r="Q565" t="str">
        <f>""</f>
        <v/>
      </c>
      <c r="S565" t="s">
        <v>1213</v>
      </c>
      <c r="U565">
        <v>3225</v>
      </c>
      <c r="V565" t="s">
        <v>1214</v>
      </c>
      <c r="W565" t="s">
        <v>1171</v>
      </c>
      <c r="X565" t="s">
        <v>1215</v>
      </c>
      <c r="Y565" t="s">
        <v>1215</v>
      </c>
    </row>
    <row r="566" spans="1:25">
      <c r="A566">
        <v>13527</v>
      </c>
      <c r="B566" t="s">
        <v>25</v>
      </c>
      <c r="C566" t="str">
        <f t="shared" si="16"/>
        <v>INTEGRA Saloon</v>
      </c>
      <c r="D566" t="str">
        <f t="shared" si="17"/>
        <v>1.5</v>
      </c>
      <c r="E566" t="s">
        <v>26</v>
      </c>
      <c r="F566">
        <v>198501</v>
      </c>
      <c r="G566">
        <v>199012</v>
      </c>
      <c r="H566">
        <v>63</v>
      </c>
      <c r="I566">
        <v>85</v>
      </c>
      <c r="J566">
        <v>1488</v>
      </c>
      <c r="K566">
        <v>2861469</v>
      </c>
      <c r="L566" t="s">
        <v>1181</v>
      </c>
      <c r="M566" t="str">
        <f>"0080"</f>
        <v>0080</v>
      </c>
      <c r="N566" t="str">
        <f>"0080"</f>
        <v>0080</v>
      </c>
      <c r="O566" t="str">
        <f>""</f>
        <v/>
      </c>
      <c r="P566" t="s">
        <v>1198</v>
      </c>
      <c r="Q566" t="str">
        <f>""</f>
        <v/>
      </c>
      <c r="S566" t="s">
        <v>1213</v>
      </c>
      <c r="U566">
        <v>3225</v>
      </c>
      <c r="V566" t="s">
        <v>1214</v>
      </c>
      <c r="W566" t="s">
        <v>1171</v>
      </c>
      <c r="X566" t="s">
        <v>1215</v>
      </c>
      <c r="Y566" t="s">
        <v>1215</v>
      </c>
    </row>
    <row r="567" spans="1:25">
      <c r="A567">
        <v>13527</v>
      </c>
      <c r="B567" t="s">
        <v>25</v>
      </c>
      <c r="C567" t="str">
        <f t="shared" si="16"/>
        <v>INTEGRA Saloon</v>
      </c>
      <c r="D567" t="str">
        <f t="shared" si="17"/>
        <v>1.5</v>
      </c>
      <c r="E567" t="s">
        <v>26</v>
      </c>
      <c r="F567">
        <v>198501</v>
      </c>
      <c r="G567">
        <v>199012</v>
      </c>
      <c r="H567">
        <v>63</v>
      </c>
      <c r="I567">
        <v>85</v>
      </c>
      <c r="J567">
        <v>1488</v>
      </c>
      <c r="K567">
        <v>2861478</v>
      </c>
      <c r="L567" t="s">
        <v>1181</v>
      </c>
      <c r="M567" t="str">
        <f>"0082"</f>
        <v>0082</v>
      </c>
      <c r="N567" t="str">
        <f>"0082"</f>
        <v>0082</v>
      </c>
      <c r="O567" t="str">
        <f>""</f>
        <v/>
      </c>
      <c r="P567" t="s">
        <v>1198</v>
      </c>
      <c r="Q567" t="str">
        <f>""</f>
        <v/>
      </c>
      <c r="S567" t="s">
        <v>1213</v>
      </c>
      <c r="U567">
        <v>3225</v>
      </c>
      <c r="V567" t="s">
        <v>1214</v>
      </c>
      <c r="W567" t="s">
        <v>1171</v>
      </c>
      <c r="X567" t="s">
        <v>1215</v>
      </c>
      <c r="Y567" t="s">
        <v>1215</v>
      </c>
    </row>
    <row r="568" spans="1:25">
      <c r="A568">
        <v>13527</v>
      </c>
      <c r="B568" t="s">
        <v>25</v>
      </c>
      <c r="C568" t="str">
        <f t="shared" si="16"/>
        <v>INTEGRA Saloon</v>
      </c>
      <c r="D568" t="str">
        <f t="shared" si="17"/>
        <v>1.5</v>
      </c>
      <c r="E568" t="s">
        <v>26</v>
      </c>
      <c r="F568">
        <v>198501</v>
      </c>
      <c r="G568">
        <v>199012</v>
      </c>
      <c r="H568">
        <v>63</v>
      </c>
      <c r="I568">
        <v>85</v>
      </c>
      <c r="J568">
        <v>1488</v>
      </c>
      <c r="K568">
        <v>2861494</v>
      </c>
      <c r="L568" t="s">
        <v>1181</v>
      </c>
      <c r="M568" t="str">
        <f>"0161"</f>
        <v>0161</v>
      </c>
      <c r="N568" t="str">
        <f>"0161"</f>
        <v>0161</v>
      </c>
      <c r="O568" t="str">
        <f>""</f>
        <v/>
      </c>
      <c r="P568" t="s">
        <v>1198</v>
      </c>
      <c r="Q568" t="str">
        <f>""</f>
        <v/>
      </c>
      <c r="S568" t="s">
        <v>1213</v>
      </c>
      <c r="U568">
        <v>3225</v>
      </c>
      <c r="V568" t="s">
        <v>1214</v>
      </c>
      <c r="W568" t="s">
        <v>1171</v>
      </c>
      <c r="X568" t="s">
        <v>1215</v>
      </c>
      <c r="Y568" t="s">
        <v>1215</v>
      </c>
    </row>
    <row r="569" spans="1:25">
      <c r="A569">
        <v>13527</v>
      </c>
      <c r="B569" t="s">
        <v>25</v>
      </c>
      <c r="C569" t="str">
        <f t="shared" si="16"/>
        <v>INTEGRA Saloon</v>
      </c>
      <c r="D569" t="str">
        <f t="shared" si="17"/>
        <v>1.5</v>
      </c>
      <c r="E569" t="s">
        <v>26</v>
      </c>
      <c r="F569">
        <v>198501</v>
      </c>
      <c r="G569">
        <v>199012</v>
      </c>
      <c r="H569">
        <v>63</v>
      </c>
      <c r="I569">
        <v>85</v>
      </c>
      <c r="J569">
        <v>1488</v>
      </c>
      <c r="K569">
        <v>2861499</v>
      </c>
      <c r="L569" t="s">
        <v>1181</v>
      </c>
      <c r="M569" t="str">
        <f>"0183"</f>
        <v>0183</v>
      </c>
      <c r="N569" t="str">
        <f>"0183"</f>
        <v>0183</v>
      </c>
      <c r="O569" t="str">
        <f>""</f>
        <v/>
      </c>
      <c r="P569" t="s">
        <v>1201</v>
      </c>
      <c r="Q569" t="str">
        <f>""</f>
        <v/>
      </c>
      <c r="S569" t="s">
        <v>1213</v>
      </c>
      <c r="U569">
        <v>3225</v>
      </c>
      <c r="V569" t="s">
        <v>1214</v>
      </c>
      <c r="W569" t="s">
        <v>1171</v>
      </c>
      <c r="X569" t="s">
        <v>1215</v>
      </c>
      <c r="Y569" t="s">
        <v>1215</v>
      </c>
    </row>
    <row r="570" spans="1:25">
      <c r="A570">
        <v>13527</v>
      </c>
      <c r="B570" t="s">
        <v>25</v>
      </c>
      <c r="C570" t="str">
        <f t="shared" si="16"/>
        <v>INTEGRA Saloon</v>
      </c>
      <c r="D570" t="str">
        <f t="shared" si="17"/>
        <v>1.5</v>
      </c>
      <c r="E570" t="s">
        <v>26</v>
      </c>
      <c r="F570">
        <v>198501</v>
      </c>
      <c r="G570">
        <v>199012</v>
      </c>
      <c r="H570">
        <v>63</v>
      </c>
      <c r="I570">
        <v>85</v>
      </c>
      <c r="J570">
        <v>1488</v>
      </c>
      <c r="K570">
        <v>2861659</v>
      </c>
      <c r="L570" t="s">
        <v>1181</v>
      </c>
      <c r="M570" t="str">
        <f>"1430"</f>
        <v>1430</v>
      </c>
      <c r="N570" t="str">
        <f>"1430"</f>
        <v>1430</v>
      </c>
      <c r="O570" t="str">
        <f>""</f>
        <v/>
      </c>
      <c r="P570" t="s">
        <v>1198</v>
      </c>
      <c r="Q570" t="str">
        <f>""</f>
        <v/>
      </c>
      <c r="S570" t="s">
        <v>1213</v>
      </c>
      <c r="U570">
        <v>3225</v>
      </c>
      <c r="V570" t="s">
        <v>1214</v>
      </c>
      <c r="W570" t="s">
        <v>1171</v>
      </c>
      <c r="X570" t="s">
        <v>1215</v>
      </c>
      <c r="Y570" t="s">
        <v>1215</v>
      </c>
    </row>
    <row r="571" spans="1:25">
      <c r="A571">
        <v>13527</v>
      </c>
      <c r="B571" t="s">
        <v>25</v>
      </c>
      <c r="C571" t="str">
        <f t="shared" si="16"/>
        <v>INTEGRA Saloon</v>
      </c>
      <c r="D571" t="str">
        <f t="shared" si="17"/>
        <v>1.5</v>
      </c>
      <c r="E571" t="s">
        <v>26</v>
      </c>
      <c r="F571">
        <v>198501</v>
      </c>
      <c r="G571">
        <v>199012</v>
      </c>
      <c r="H571">
        <v>63</v>
      </c>
      <c r="I571">
        <v>85</v>
      </c>
      <c r="J571">
        <v>1488</v>
      </c>
      <c r="K571">
        <v>2861992</v>
      </c>
      <c r="L571" t="s">
        <v>1181</v>
      </c>
      <c r="M571" t="str">
        <f>"MAGNATECA15W30"</f>
        <v>MAGNATECA15W30</v>
      </c>
      <c r="N571" t="str">
        <f>"Magnatec A1 5W-30"</f>
        <v>Magnatec A1 5W-30</v>
      </c>
      <c r="O571" t="str">
        <f>""</f>
        <v/>
      </c>
      <c r="P571" t="s">
        <v>1203</v>
      </c>
      <c r="Q571" t="str">
        <f>""</f>
        <v/>
      </c>
      <c r="S571" t="s">
        <v>1216</v>
      </c>
      <c r="U571">
        <v>3225</v>
      </c>
      <c r="V571" t="s">
        <v>1214</v>
      </c>
      <c r="W571" t="s">
        <v>1171</v>
      </c>
      <c r="X571" t="s">
        <v>1215</v>
      </c>
      <c r="Y571" t="s">
        <v>1215</v>
      </c>
    </row>
    <row r="572" spans="1:25">
      <c r="A572">
        <v>13527</v>
      </c>
      <c r="B572" t="s">
        <v>25</v>
      </c>
      <c r="C572" t="str">
        <f t="shared" si="16"/>
        <v>INTEGRA Saloon</v>
      </c>
      <c r="D572" t="str">
        <f t="shared" si="17"/>
        <v>1.5</v>
      </c>
      <c r="E572" t="s">
        <v>26</v>
      </c>
      <c r="F572">
        <v>198501</v>
      </c>
      <c r="G572">
        <v>199012</v>
      </c>
      <c r="H572">
        <v>63</v>
      </c>
      <c r="I572">
        <v>85</v>
      </c>
      <c r="J572">
        <v>1488</v>
      </c>
      <c r="K572">
        <v>2861993</v>
      </c>
      <c r="L572" t="s">
        <v>1181</v>
      </c>
      <c r="M572" t="str">
        <f>"MAGNATECA3B410W40"</f>
        <v>MAGNATECA3B410W40</v>
      </c>
      <c r="N572" t="str">
        <f>"Magnatec A3/B4 10W-40"</f>
        <v>Magnatec A3/B4 10W-40</v>
      </c>
      <c r="O572" t="str">
        <f>""</f>
        <v/>
      </c>
      <c r="P572" t="s">
        <v>1203</v>
      </c>
      <c r="Q572" t="str">
        <f>""</f>
        <v/>
      </c>
      <c r="S572" t="s">
        <v>1216</v>
      </c>
      <c r="U572">
        <v>3225</v>
      </c>
      <c r="V572" t="s">
        <v>1214</v>
      </c>
      <c r="W572" t="s">
        <v>1171</v>
      </c>
      <c r="X572" t="s">
        <v>1215</v>
      </c>
      <c r="Y572" t="s">
        <v>1215</v>
      </c>
    </row>
    <row r="573" spans="1:25">
      <c r="A573">
        <v>13527</v>
      </c>
      <c r="B573" t="s">
        <v>25</v>
      </c>
      <c r="C573" t="str">
        <f t="shared" si="16"/>
        <v>INTEGRA Saloon</v>
      </c>
      <c r="D573" t="str">
        <f t="shared" si="17"/>
        <v>1.5</v>
      </c>
      <c r="E573" t="s">
        <v>26</v>
      </c>
      <c r="F573">
        <v>198501</v>
      </c>
      <c r="G573">
        <v>199012</v>
      </c>
      <c r="H573">
        <v>63</v>
      </c>
      <c r="I573">
        <v>85</v>
      </c>
      <c r="J573">
        <v>1488</v>
      </c>
      <c r="K573">
        <v>3748202</v>
      </c>
      <c r="L573" t="s">
        <v>1185</v>
      </c>
      <c r="M573" t="str">
        <f>"E100010"</f>
        <v>E100010</v>
      </c>
      <c r="N573" t="str">
        <f>"E100010"</f>
        <v>E100010</v>
      </c>
      <c r="O573" t="str">
        <f>""</f>
        <v/>
      </c>
      <c r="P573" t="s">
        <v>1205</v>
      </c>
      <c r="Q573" t="str">
        <f>""</f>
        <v/>
      </c>
      <c r="S573" t="s">
        <v>1217</v>
      </c>
      <c r="U573">
        <v>3225</v>
      </c>
      <c r="V573" t="s">
        <v>1214</v>
      </c>
      <c r="W573" t="s">
        <v>1171</v>
      </c>
      <c r="X573" t="s">
        <v>1215</v>
      </c>
      <c r="Y573" t="s">
        <v>1215</v>
      </c>
    </row>
    <row r="574" spans="1:25">
      <c r="A574">
        <v>13527</v>
      </c>
      <c r="B574" t="s">
        <v>25</v>
      </c>
      <c r="C574" t="str">
        <f t="shared" si="16"/>
        <v>INTEGRA Saloon</v>
      </c>
      <c r="D574" t="str">
        <f t="shared" si="17"/>
        <v>1.5</v>
      </c>
      <c r="E574" t="s">
        <v>26</v>
      </c>
      <c r="F574">
        <v>198501</v>
      </c>
      <c r="G574">
        <v>199012</v>
      </c>
      <c r="H574">
        <v>63</v>
      </c>
      <c r="I574">
        <v>85</v>
      </c>
      <c r="J574">
        <v>1488</v>
      </c>
      <c r="K574">
        <v>3748207</v>
      </c>
      <c r="L574" t="s">
        <v>1185</v>
      </c>
      <c r="M574" t="str">
        <f>"E100020"</f>
        <v>E100020</v>
      </c>
      <c r="N574" t="str">
        <f>"E100020"</f>
        <v>E100020</v>
      </c>
      <c r="O574" t="str">
        <f>""</f>
        <v/>
      </c>
      <c r="P574" t="s">
        <v>1200</v>
      </c>
      <c r="Q574" t="str">
        <f>""</f>
        <v/>
      </c>
      <c r="S574" t="s">
        <v>1217</v>
      </c>
      <c r="U574">
        <v>3225</v>
      </c>
      <c r="V574" t="s">
        <v>1214</v>
      </c>
      <c r="W574" t="s">
        <v>1171</v>
      </c>
      <c r="X574" t="s">
        <v>1215</v>
      </c>
      <c r="Y574" t="s">
        <v>1215</v>
      </c>
    </row>
    <row r="575" spans="1:25">
      <c r="A575">
        <v>13527</v>
      </c>
      <c r="B575" t="s">
        <v>25</v>
      </c>
      <c r="C575" t="str">
        <f t="shared" si="16"/>
        <v>INTEGRA Saloon</v>
      </c>
      <c r="D575" t="str">
        <f t="shared" si="17"/>
        <v>1.5</v>
      </c>
      <c r="E575" t="s">
        <v>26</v>
      </c>
      <c r="F575">
        <v>198501</v>
      </c>
      <c r="G575">
        <v>199012</v>
      </c>
      <c r="H575">
        <v>63</v>
      </c>
      <c r="I575">
        <v>85</v>
      </c>
      <c r="J575">
        <v>1488</v>
      </c>
      <c r="K575">
        <v>3748265</v>
      </c>
      <c r="L575" t="s">
        <v>1185</v>
      </c>
      <c r="M575" t="str">
        <f>"E100060"</f>
        <v>E100060</v>
      </c>
      <c r="N575" t="str">
        <f>"E100060"</f>
        <v>E100060</v>
      </c>
      <c r="O575" t="str">
        <f>""</f>
        <v/>
      </c>
      <c r="P575" t="s">
        <v>1200</v>
      </c>
      <c r="Q575" t="str">
        <f>""</f>
        <v/>
      </c>
      <c r="S575" t="s">
        <v>1213</v>
      </c>
      <c r="U575">
        <v>3225</v>
      </c>
      <c r="V575" t="s">
        <v>1214</v>
      </c>
      <c r="W575" t="s">
        <v>1171</v>
      </c>
      <c r="X575" t="s">
        <v>1215</v>
      </c>
      <c r="Y575" t="s">
        <v>1215</v>
      </c>
    </row>
    <row r="576" spans="1:25">
      <c r="A576">
        <v>13527</v>
      </c>
      <c r="B576" t="s">
        <v>25</v>
      </c>
      <c r="C576" t="str">
        <f t="shared" si="16"/>
        <v>INTEGRA Saloon</v>
      </c>
      <c r="D576" t="str">
        <f t="shared" si="17"/>
        <v>1.5</v>
      </c>
      <c r="E576" t="s">
        <v>26</v>
      </c>
      <c r="F576">
        <v>198501</v>
      </c>
      <c r="G576">
        <v>199012</v>
      </c>
      <c r="H576">
        <v>63</v>
      </c>
      <c r="I576">
        <v>85</v>
      </c>
      <c r="J576">
        <v>1488</v>
      </c>
      <c r="K576">
        <v>3748367</v>
      </c>
      <c r="L576" t="s">
        <v>1185</v>
      </c>
      <c r="M576" t="str">
        <f>"E100096"</f>
        <v>E100096</v>
      </c>
      <c r="N576" t="str">
        <f>"E100096"</f>
        <v>E100096</v>
      </c>
      <c r="O576" t="str">
        <f>""</f>
        <v/>
      </c>
      <c r="P576" t="s">
        <v>1207</v>
      </c>
      <c r="Q576" t="str">
        <f>""</f>
        <v/>
      </c>
      <c r="S576" t="s">
        <v>1217</v>
      </c>
      <c r="U576">
        <v>3225</v>
      </c>
      <c r="V576" t="s">
        <v>1214</v>
      </c>
      <c r="W576" t="s">
        <v>1171</v>
      </c>
      <c r="X576" t="s">
        <v>1215</v>
      </c>
      <c r="Y576" t="s">
        <v>1215</v>
      </c>
    </row>
    <row r="577" spans="1:25">
      <c r="A577">
        <v>13527</v>
      </c>
      <c r="B577" t="s">
        <v>25</v>
      </c>
      <c r="C577" t="str">
        <f t="shared" si="16"/>
        <v>INTEGRA Saloon</v>
      </c>
      <c r="D577" t="str">
        <f t="shared" si="17"/>
        <v>1.5</v>
      </c>
      <c r="E577" t="s">
        <v>26</v>
      </c>
      <c r="F577">
        <v>198501</v>
      </c>
      <c r="G577">
        <v>199012</v>
      </c>
      <c r="H577">
        <v>63</v>
      </c>
      <c r="I577">
        <v>85</v>
      </c>
      <c r="J577">
        <v>1488</v>
      </c>
      <c r="K577">
        <v>3748406</v>
      </c>
      <c r="L577" t="s">
        <v>1185</v>
      </c>
      <c r="M577" t="str">
        <f>"E100125"</f>
        <v>E100125</v>
      </c>
      <c r="N577" t="str">
        <f>"E100125"</f>
        <v>E100125</v>
      </c>
      <c r="O577" t="str">
        <f>""</f>
        <v/>
      </c>
      <c r="P577" t="s">
        <v>1207</v>
      </c>
      <c r="Q577" t="str">
        <f>""</f>
        <v/>
      </c>
      <c r="S577" t="s">
        <v>1217</v>
      </c>
      <c r="U577">
        <v>3225</v>
      </c>
      <c r="V577" t="s">
        <v>1214</v>
      </c>
      <c r="W577" t="s">
        <v>1171</v>
      </c>
      <c r="X577" t="s">
        <v>1215</v>
      </c>
      <c r="Y577" t="s">
        <v>1215</v>
      </c>
    </row>
    <row r="578" spans="1:25">
      <c r="A578">
        <v>13527</v>
      </c>
      <c r="B578" t="s">
        <v>25</v>
      </c>
      <c r="C578" t="str">
        <f t="shared" ref="C578:C641" si="18">"INTEGRA Saloon"</f>
        <v>INTEGRA Saloon</v>
      </c>
      <c r="D578" t="str">
        <f t="shared" ref="D578:D617" si="19">"1.5"</f>
        <v>1.5</v>
      </c>
      <c r="E578" t="s">
        <v>26</v>
      </c>
      <c r="F578">
        <v>198501</v>
      </c>
      <c r="G578">
        <v>199012</v>
      </c>
      <c r="H578">
        <v>63</v>
      </c>
      <c r="I578">
        <v>85</v>
      </c>
      <c r="J578">
        <v>1488</v>
      </c>
      <c r="K578">
        <v>3920235</v>
      </c>
      <c r="L578" t="s">
        <v>1187</v>
      </c>
      <c r="M578" t="str">
        <f>"16100"</f>
        <v>16100</v>
      </c>
      <c r="N578" t="str">
        <f>"16100"</f>
        <v>16100</v>
      </c>
      <c r="O578" t="str">
        <f>""</f>
        <v/>
      </c>
      <c r="P578" t="s">
        <v>1198</v>
      </c>
      <c r="Q578" t="str">
        <f>""</f>
        <v/>
      </c>
      <c r="S578" t="s">
        <v>1218</v>
      </c>
      <c r="U578">
        <v>3225</v>
      </c>
      <c r="V578" t="s">
        <v>1214</v>
      </c>
      <c r="W578" t="s">
        <v>1171</v>
      </c>
      <c r="X578" t="s">
        <v>1215</v>
      </c>
      <c r="Y578" t="s">
        <v>1215</v>
      </c>
    </row>
    <row r="579" spans="1:25">
      <c r="A579">
        <v>13527</v>
      </c>
      <c r="B579" t="s">
        <v>25</v>
      </c>
      <c r="C579" t="str">
        <f t="shared" si="18"/>
        <v>INTEGRA Saloon</v>
      </c>
      <c r="D579" t="str">
        <f t="shared" si="19"/>
        <v>1.5</v>
      </c>
      <c r="E579" t="s">
        <v>26</v>
      </c>
      <c r="F579">
        <v>198501</v>
      </c>
      <c r="G579">
        <v>199012</v>
      </c>
      <c r="H579">
        <v>63</v>
      </c>
      <c r="I579">
        <v>85</v>
      </c>
      <c r="J579">
        <v>1488</v>
      </c>
      <c r="K579">
        <v>4083837</v>
      </c>
      <c r="L579" t="s">
        <v>1190</v>
      </c>
      <c r="M579" t="str">
        <f>"1111122"</f>
        <v>1111122</v>
      </c>
      <c r="N579" t="str">
        <f>"1111122"</f>
        <v>1111122</v>
      </c>
      <c r="O579" t="str">
        <f>""</f>
        <v/>
      </c>
      <c r="P579" t="s">
        <v>1203</v>
      </c>
      <c r="Q579" t="str">
        <f>""</f>
        <v/>
      </c>
      <c r="R579" s="1" t="s">
        <v>1219</v>
      </c>
      <c r="S579" t="s">
        <v>1213</v>
      </c>
      <c r="T579" t="s">
        <v>1220</v>
      </c>
      <c r="U579">
        <v>3225</v>
      </c>
      <c r="V579" t="s">
        <v>1214</v>
      </c>
      <c r="W579" t="s">
        <v>1171</v>
      </c>
      <c r="X579" t="s">
        <v>1215</v>
      </c>
      <c r="Y579" t="s">
        <v>1215</v>
      </c>
    </row>
    <row r="580" spans="1:25">
      <c r="A580">
        <v>13527</v>
      </c>
      <c r="B580" t="s">
        <v>25</v>
      </c>
      <c r="C580" t="str">
        <f t="shared" si="18"/>
        <v>INTEGRA Saloon</v>
      </c>
      <c r="D580" t="str">
        <f t="shared" si="19"/>
        <v>1.5</v>
      </c>
      <c r="E580" t="s">
        <v>26</v>
      </c>
      <c r="F580">
        <v>198501</v>
      </c>
      <c r="G580">
        <v>199012</v>
      </c>
      <c r="H580">
        <v>63</v>
      </c>
      <c r="I580">
        <v>85</v>
      </c>
      <c r="J580">
        <v>1488</v>
      </c>
      <c r="K580">
        <v>4083935</v>
      </c>
      <c r="L580" t="s">
        <v>1190</v>
      </c>
      <c r="M580" t="str">
        <f>"1112110"</f>
        <v>1112110</v>
      </c>
      <c r="N580" t="str">
        <f>"1112110"</f>
        <v>1112110</v>
      </c>
      <c r="O580" t="str">
        <f>""</f>
        <v/>
      </c>
      <c r="P580" t="s">
        <v>1203</v>
      </c>
      <c r="Q580" t="str">
        <f>""</f>
        <v/>
      </c>
      <c r="R580" s="1" t="s">
        <v>1210</v>
      </c>
      <c r="S580" t="s">
        <v>1213</v>
      </c>
      <c r="T580" s="1" t="s">
        <v>1211</v>
      </c>
      <c r="U580">
        <v>3225</v>
      </c>
      <c r="V580" t="s">
        <v>1214</v>
      </c>
      <c r="W580" t="s">
        <v>1171</v>
      </c>
      <c r="X580" t="s">
        <v>1215</v>
      </c>
      <c r="Y580" t="s">
        <v>1215</v>
      </c>
    </row>
    <row r="581" spans="1:25">
      <c r="A581">
        <v>13527</v>
      </c>
      <c r="B581" t="s">
        <v>25</v>
      </c>
      <c r="C581" t="str">
        <f t="shared" si="18"/>
        <v>INTEGRA Saloon</v>
      </c>
      <c r="D581" t="str">
        <f t="shared" si="19"/>
        <v>1.5</v>
      </c>
      <c r="E581" t="s">
        <v>26</v>
      </c>
      <c r="F581">
        <v>198501</v>
      </c>
      <c r="G581">
        <v>199012</v>
      </c>
      <c r="H581">
        <v>63</v>
      </c>
      <c r="I581">
        <v>85</v>
      </c>
      <c r="J581">
        <v>1488</v>
      </c>
      <c r="K581">
        <v>4952281</v>
      </c>
      <c r="L581" t="s">
        <v>1173</v>
      </c>
      <c r="M581" t="str">
        <f>"SUPERTRONIC0W40"</f>
        <v>SUPERTRONIC0W40</v>
      </c>
      <c r="N581" t="str">
        <f>"SuperTronic 0W-40"</f>
        <v>SuperTronic 0W-40</v>
      </c>
      <c r="O581" t="str">
        <f>""</f>
        <v/>
      </c>
      <c r="P581" t="s">
        <v>1198</v>
      </c>
      <c r="Q581" t="str">
        <f>""</f>
        <v/>
      </c>
      <c r="S581" t="s">
        <v>1213</v>
      </c>
      <c r="U581">
        <v>3225</v>
      </c>
      <c r="V581" t="s">
        <v>1214</v>
      </c>
      <c r="W581" t="s">
        <v>1171</v>
      </c>
      <c r="X581" t="s">
        <v>1215</v>
      </c>
      <c r="Y581" t="s">
        <v>1215</v>
      </c>
    </row>
    <row r="582" spans="1:25">
      <c r="A582">
        <v>13527</v>
      </c>
      <c r="B582" t="s">
        <v>25</v>
      </c>
      <c r="C582" t="str">
        <f t="shared" si="18"/>
        <v>INTEGRA Saloon</v>
      </c>
      <c r="D582" t="str">
        <f t="shared" si="19"/>
        <v>1.5</v>
      </c>
      <c r="E582" t="s">
        <v>26</v>
      </c>
      <c r="F582">
        <v>198501</v>
      </c>
      <c r="G582">
        <v>199012</v>
      </c>
      <c r="H582">
        <v>63</v>
      </c>
      <c r="I582">
        <v>85</v>
      </c>
      <c r="J582">
        <v>1488</v>
      </c>
      <c r="K582">
        <v>3748616</v>
      </c>
      <c r="L582" t="s">
        <v>1185</v>
      </c>
      <c r="M582" t="str">
        <f>"E113661"</f>
        <v>E113661</v>
      </c>
      <c r="N582" t="str">
        <f>"E113661"</f>
        <v>E113661</v>
      </c>
      <c r="O582" t="str">
        <f>""</f>
        <v/>
      </c>
      <c r="P582" t="s">
        <v>1221</v>
      </c>
      <c r="Q582" t="str">
        <f>""</f>
        <v/>
      </c>
      <c r="U582">
        <v>3354</v>
      </c>
      <c r="V582" t="s">
        <v>1222</v>
      </c>
      <c r="W582" t="s">
        <v>1171</v>
      </c>
      <c r="X582" t="s">
        <v>211</v>
      </c>
      <c r="Y582" t="s">
        <v>1223</v>
      </c>
    </row>
    <row r="583" spans="1:25">
      <c r="A583">
        <v>13527</v>
      </c>
      <c r="B583" t="s">
        <v>25</v>
      </c>
      <c r="C583" t="str">
        <f t="shared" si="18"/>
        <v>INTEGRA Saloon</v>
      </c>
      <c r="D583" t="str">
        <f t="shared" si="19"/>
        <v>1.5</v>
      </c>
      <c r="E583" t="s">
        <v>26</v>
      </c>
      <c r="F583">
        <v>198501</v>
      </c>
      <c r="G583">
        <v>199012</v>
      </c>
      <c r="H583">
        <v>63</v>
      </c>
      <c r="I583">
        <v>85</v>
      </c>
      <c r="J583">
        <v>1488</v>
      </c>
      <c r="K583">
        <v>750264</v>
      </c>
      <c r="L583" t="s">
        <v>1173</v>
      </c>
      <c r="M583" t="str">
        <f>"ANTIFREEZEEXTRA"</f>
        <v>ANTIFREEZEEXTRA</v>
      </c>
      <c r="N583" t="str">
        <f>"Antifreeze Extra"</f>
        <v>Antifreeze Extra</v>
      </c>
      <c r="O583" t="str">
        <f>""</f>
        <v/>
      </c>
      <c r="P583" t="s">
        <v>1224</v>
      </c>
      <c r="Q583" t="str">
        <f>""</f>
        <v/>
      </c>
      <c r="U583">
        <v>3356</v>
      </c>
      <c r="V583" t="s">
        <v>1224</v>
      </c>
      <c r="W583" t="s">
        <v>1224</v>
      </c>
      <c r="X583" t="s">
        <v>626</v>
      </c>
    </row>
    <row r="584" spans="1:25">
      <c r="A584">
        <v>13527</v>
      </c>
      <c r="B584" t="s">
        <v>25</v>
      </c>
      <c r="C584" t="str">
        <f t="shared" si="18"/>
        <v>INTEGRA Saloon</v>
      </c>
      <c r="D584" t="str">
        <f t="shared" si="19"/>
        <v>1.5</v>
      </c>
      <c r="E584" t="s">
        <v>26</v>
      </c>
      <c r="F584">
        <v>198501</v>
      </c>
      <c r="G584">
        <v>199012</v>
      </c>
      <c r="H584">
        <v>63</v>
      </c>
      <c r="I584">
        <v>85</v>
      </c>
      <c r="J584">
        <v>1488</v>
      </c>
      <c r="K584">
        <v>2861589</v>
      </c>
      <c r="L584" t="s">
        <v>1181</v>
      </c>
      <c r="M584" t="str">
        <f>"0603"</f>
        <v>0603</v>
      </c>
      <c r="N584" t="str">
        <f>"0603"</f>
        <v>0603</v>
      </c>
      <c r="O584" t="str">
        <f>""</f>
        <v/>
      </c>
      <c r="P584" t="s">
        <v>1224</v>
      </c>
      <c r="Q584" t="str">
        <f>""</f>
        <v/>
      </c>
      <c r="U584">
        <v>3356</v>
      </c>
      <c r="V584" t="s">
        <v>1224</v>
      </c>
      <c r="W584" t="s">
        <v>1224</v>
      </c>
      <c r="X584" t="s">
        <v>626</v>
      </c>
    </row>
    <row r="585" spans="1:25">
      <c r="A585">
        <v>13527</v>
      </c>
      <c r="B585" t="s">
        <v>25</v>
      </c>
      <c r="C585" t="str">
        <f t="shared" si="18"/>
        <v>INTEGRA Saloon</v>
      </c>
      <c r="D585" t="str">
        <f t="shared" si="19"/>
        <v>1.5</v>
      </c>
      <c r="E585" t="s">
        <v>26</v>
      </c>
      <c r="F585">
        <v>198501</v>
      </c>
      <c r="G585">
        <v>199012</v>
      </c>
      <c r="H585">
        <v>63</v>
      </c>
      <c r="I585">
        <v>85</v>
      </c>
      <c r="J585">
        <v>1488</v>
      </c>
      <c r="K585">
        <v>2861595</v>
      </c>
      <c r="L585" t="s">
        <v>1181</v>
      </c>
      <c r="M585" t="str">
        <f>"0604"</f>
        <v>0604</v>
      </c>
      <c r="N585" t="str">
        <f>"0604"</f>
        <v>0604</v>
      </c>
      <c r="O585" t="str">
        <f>""</f>
        <v/>
      </c>
      <c r="P585" t="s">
        <v>1224</v>
      </c>
      <c r="Q585" t="str">
        <f>""</f>
        <v/>
      </c>
      <c r="U585">
        <v>3356</v>
      </c>
      <c r="V585" t="s">
        <v>1224</v>
      </c>
      <c r="W585" t="s">
        <v>1224</v>
      </c>
      <c r="X585" t="s">
        <v>626</v>
      </c>
    </row>
    <row r="586" spans="1:25">
      <c r="A586">
        <v>13527</v>
      </c>
      <c r="B586" t="s">
        <v>25</v>
      </c>
      <c r="C586" t="str">
        <f t="shared" si="18"/>
        <v>INTEGRA Saloon</v>
      </c>
      <c r="D586" t="str">
        <f t="shared" si="19"/>
        <v>1.5</v>
      </c>
      <c r="E586" t="s">
        <v>26</v>
      </c>
      <c r="F586">
        <v>198501</v>
      </c>
      <c r="G586">
        <v>199012</v>
      </c>
      <c r="H586">
        <v>63</v>
      </c>
      <c r="I586">
        <v>85</v>
      </c>
      <c r="J586">
        <v>1488</v>
      </c>
      <c r="K586">
        <v>2861599</v>
      </c>
      <c r="L586" t="s">
        <v>1181</v>
      </c>
      <c r="M586" t="str">
        <f>"0605"</f>
        <v>0605</v>
      </c>
      <c r="N586" t="str">
        <f>"0605"</f>
        <v>0605</v>
      </c>
      <c r="O586" t="str">
        <f>""</f>
        <v/>
      </c>
      <c r="P586" t="s">
        <v>1224</v>
      </c>
      <c r="Q586" t="str">
        <f>""</f>
        <v/>
      </c>
      <c r="U586">
        <v>3356</v>
      </c>
      <c r="V586" t="s">
        <v>1224</v>
      </c>
      <c r="W586" t="s">
        <v>1224</v>
      </c>
      <c r="X586" t="s">
        <v>626</v>
      </c>
    </row>
    <row r="587" spans="1:25">
      <c r="A587">
        <v>13527</v>
      </c>
      <c r="B587" t="s">
        <v>25</v>
      </c>
      <c r="C587" t="str">
        <f t="shared" si="18"/>
        <v>INTEGRA Saloon</v>
      </c>
      <c r="D587" t="str">
        <f t="shared" si="19"/>
        <v>1.5</v>
      </c>
      <c r="E587" t="s">
        <v>26</v>
      </c>
      <c r="F587">
        <v>198501</v>
      </c>
      <c r="G587">
        <v>199012</v>
      </c>
      <c r="H587">
        <v>63</v>
      </c>
      <c r="I587">
        <v>85</v>
      </c>
      <c r="J587">
        <v>1488</v>
      </c>
      <c r="K587">
        <v>3748664</v>
      </c>
      <c r="L587" t="s">
        <v>1185</v>
      </c>
      <c r="M587" t="str">
        <f>"E504105"</f>
        <v>E504105</v>
      </c>
      <c r="N587" t="str">
        <f>"E504105"</f>
        <v>E504105</v>
      </c>
      <c r="O587" t="str">
        <f>""</f>
        <v/>
      </c>
      <c r="P587" t="s">
        <v>1225</v>
      </c>
      <c r="Q587" t="str">
        <f>""</f>
        <v/>
      </c>
      <c r="U587">
        <v>3356</v>
      </c>
      <c r="V587" t="s">
        <v>1224</v>
      </c>
      <c r="W587" t="s">
        <v>1224</v>
      </c>
      <c r="X587" t="s">
        <v>626</v>
      </c>
    </row>
    <row r="588" spans="1:25">
      <c r="A588">
        <v>13527</v>
      </c>
      <c r="B588" t="s">
        <v>25</v>
      </c>
      <c r="C588" t="str">
        <f t="shared" si="18"/>
        <v>INTEGRA Saloon</v>
      </c>
      <c r="D588" t="str">
        <f t="shared" si="19"/>
        <v>1.5</v>
      </c>
      <c r="E588" t="s">
        <v>26</v>
      </c>
      <c r="F588">
        <v>198501</v>
      </c>
      <c r="G588">
        <v>199012</v>
      </c>
      <c r="H588">
        <v>63</v>
      </c>
      <c r="I588">
        <v>85</v>
      </c>
      <c r="J588">
        <v>1488</v>
      </c>
      <c r="K588">
        <v>3748671</v>
      </c>
      <c r="L588" t="s">
        <v>1185</v>
      </c>
      <c r="M588" t="str">
        <f>"E504140"</f>
        <v>E504140</v>
      </c>
      <c r="N588" t="str">
        <f>"E504140"</f>
        <v>E504140</v>
      </c>
      <c r="O588" t="str">
        <f>""</f>
        <v/>
      </c>
      <c r="P588" t="s">
        <v>1225</v>
      </c>
      <c r="Q588" t="str">
        <f>""</f>
        <v/>
      </c>
      <c r="U588">
        <v>3356</v>
      </c>
      <c r="V588" t="s">
        <v>1224</v>
      </c>
      <c r="W588" t="s">
        <v>1224</v>
      </c>
      <c r="X588" t="s">
        <v>626</v>
      </c>
    </row>
    <row r="589" spans="1:25">
      <c r="A589">
        <v>13527</v>
      </c>
      <c r="B589" t="s">
        <v>25</v>
      </c>
      <c r="C589" t="str">
        <f t="shared" si="18"/>
        <v>INTEGRA Saloon</v>
      </c>
      <c r="D589" t="str">
        <f t="shared" si="19"/>
        <v>1.5</v>
      </c>
      <c r="E589" t="s">
        <v>26</v>
      </c>
      <c r="F589">
        <v>198501</v>
      </c>
      <c r="G589">
        <v>199012</v>
      </c>
      <c r="H589">
        <v>63</v>
      </c>
      <c r="I589">
        <v>85</v>
      </c>
      <c r="J589">
        <v>1488</v>
      </c>
      <c r="K589">
        <v>3748679</v>
      </c>
      <c r="L589" t="s">
        <v>1185</v>
      </c>
      <c r="M589" t="str">
        <f>"E504144"</f>
        <v>E504144</v>
      </c>
      <c r="N589" t="str">
        <f>"E504144"</f>
        <v>E504144</v>
      </c>
      <c r="O589" t="str">
        <f>""</f>
        <v/>
      </c>
      <c r="P589" t="s">
        <v>1225</v>
      </c>
      <c r="Q589" t="str">
        <f>""</f>
        <v/>
      </c>
      <c r="U589">
        <v>3356</v>
      </c>
      <c r="V589" t="s">
        <v>1224</v>
      </c>
      <c r="W589" t="s">
        <v>1224</v>
      </c>
      <c r="X589" t="s">
        <v>626</v>
      </c>
    </row>
    <row r="590" spans="1:25">
      <c r="A590">
        <v>13527</v>
      </c>
      <c r="B590" t="s">
        <v>25</v>
      </c>
      <c r="C590" t="str">
        <f t="shared" si="18"/>
        <v>INTEGRA Saloon</v>
      </c>
      <c r="D590" t="str">
        <f t="shared" si="19"/>
        <v>1.5</v>
      </c>
      <c r="E590" t="s">
        <v>26</v>
      </c>
      <c r="F590">
        <v>198501</v>
      </c>
      <c r="G590">
        <v>199012</v>
      </c>
      <c r="H590">
        <v>63</v>
      </c>
      <c r="I590">
        <v>85</v>
      </c>
      <c r="J590">
        <v>1488</v>
      </c>
      <c r="K590">
        <v>3748689</v>
      </c>
      <c r="L590" t="s">
        <v>1185</v>
      </c>
      <c r="M590" t="str">
        <f>"E504149"</f>
        <v>E504149</v>
      </c>
      <c r="N590" t="str">
        <f>"E504149"</f>
        <v>E504149</v>
      </c>
      <c r="O590" t="str">
        <f>""</f>
        <v/>
      </c>
      <c r="P590" t="s">
        <v>1225</v>
      </c>
      <c r="Q590" t="str">
        <f>""</f>
        <v/>
      </c>
      <c r="U590">
        <v>3356</v>
      </c>
      <c r="V590" t="s">
        <v>1224</v>
      </c>
      <c r="W590" t="s">
        <v>1224</v>
      </c>
      <c r="X590" t="s">
        <v>626</v>
      </c>
    </row>
    <row r="591" spans="1:25">
      <c r="A591">
        <v>13527</v>
      </c>
      <c r="B591" t="s">
        <v>25</v>
      </c>
      <c r="C591" t="str">
        <f t="shared" si="18"/>
        <v>INTEGRA Saloon</v>
      </c>
      <c r="D591" t="str">
        <f t="shared" si="19"/>
        <v>1.5</v>
      </c>
      <c r="E591" t="s">
        <v>26</v>
      </c>
      <c r="F591">
        <v>198501</v>
      </c>
      <c r="G591">
        <v>199012</v>
      </c>
      <c r="H591">
        <v>63</v>
      </c>
      <c r="I591">
        <v>85</v>
      </c>
      <c r="J591">
        <v>1488</v>
      </c>
      <c r="K591">
        <v>3920281</v>
      </c>
      <c r="L591" t="s">
        <v>1187</v>
      </c>
      <c r="M591" t="str">
        <f>"38300"</f>
        <v>38300</v>
      </c>
      <c r="N591" t="str">
        <f>"38300"</f>
        <v>38300</v>
      </c>
      <c r="O591" t="str">
        <f>""</f>
        <v/>
      </c>
      <c r="P591" t="s">
        <v>1224</v>
      </c>
      <c r="Q591" t="str">
        <f>""</f>
        <v/>
      </c>
      <c r="S591" t="s">
        <v>1226</v>
      </c>
      <c r="U591">
        <v>3356</v>
      </c>
      <c r="V591" t="s">
        <v>1224</v>
      </c>
      <c r="W591" t="s">
        <v>1224</v>
      </c>
      <c r="X591" t="s">
        <v>626</v>
      </c>
    </row>
    <row r="592" spans="1:25">
      <c r="A592">
        <v>13527</v>
      </c>
      <c r="B592" t="s">
        <v>25</v>
      </c>
      <c r="C592" t="str">
        <f t="shared" si="18"/>
        <v>INTEGRA Saloon</v>
      </c>
      <c r="D592" t="str">
        <f t="shared" si="19"/>
        <v>1.5</v>
      </c>
      <c r="E592" t="s">
        <v>26</v>
      </c>
      <c r="F592">
        <v>198501</v>
      </c>
      <c r="G592">
        <v>199012</v>
      </c>
      <c r="H592">
        <v>63</v>
      </c>
      <c r="I592">
        <v>85</v>
      </c>
      <c r="J592">
        <v>1488</v>
      </c>
      <c r="K592">
        <v>4085831</v>
      </c>
      <c r="L592" t="s">
        <v>1190</v>
      </c>
      <c r="M592" t="str">
        <f>"1410105"</f>
        <v>1410105</v>
      </c>
      <c r="N592" t="str">
        <f>"1410105"</f>
        <v>1410105</v>
      </c>
      <c r="O592" t="str">
        <f>""</f>
        <v/>
      </c>
      <c r="P592" t="s">
        <v>1224</v>
      </c>
      <c r="Q592" t="str">
        <f>""</f>
        <v/>
      </c>
      <c r="U592">
        <v>3356</v>
      </c>
      <c r="V592" t="s">
        <v>1224</v>
      </c>
      <c r="W592" t="s">
        <v>1224</v>
      </c>
      <c r="X592" t="s">
        <v>626</v>
      </c>
    </row>
    <row r="593" spans="1:24">
      <c r="A593">
        <v>13527</v>
      </c>
      <c r="B593" t="s">
        <v>25</v>
      </c>
      <c r="C593" t="str">
        <f t="shared" si="18"/>
        <v>INTEGRA Saloon</v>
      </c>
      <c r="D593" t="str">
        <f t="shared" si="19"/>
        <v>1.5</v>
      </c>
      <c r="E593" t="s">
        <v>26</v>
      </c>
      <c r="F593">
        <v>198501</v>
      </c>
      <c r="G593">
        <v>199012</v>
      </c>
      <c r="H593">
        <v>63</v>
      </c>
      <c r="I593">
        <v>85</v>
      </c>
      <c r="J593">
        <v>1488</v>
      </c>
      <c r="K593">
        <v>878189</v>
      </c>
      <c r="L593" t="s">
        <v>1176</v>
      </c>
      <c r="M593" t="str">
        <f>"62170"</f>
        <v>62170</v>
      </c>
      <c r="N593" t="str">
        <f>"62170"</f>
        <v>62170</v>
      </c>
      <c r="O593" t="str">
        <f>""</f>
        <v/>
      </c>
      <c r="P593" t="s">
        <v>1227</v>
      </c>
      <c r="Q593" t="str">
        <f>""</f>
        <v/>
      </c>
      <c r="U593">
        <v>3357</v>
      </c>
      <c r="V593" t="s">
        <v>1227</v>
      </c>
      <c r="W593" t="s">
        <v>1227</v>
      </c>
      <c r="X593" t="s">
        <v>224</v>
      </c>
    </row>
    <row r="594" spans="1:24">
      <c r="A594">
        <v>13527</v>
      </c>
      <c r="B594" t="s">
        <v>25</v>
      </c>
      <c r="C594" t="str">
        <f t="shared" si="18"/>
        <v>INTEGRA Saloon</v>
      </c>
      <c r="D594" t="str">
        <f t="shared" si="19"/>
        <v>1.5</v>
      </c>
      <c r="E594" t="s">
        <v>26</v>
      </c>
      <c r="F594">
        <v>198501</v>
      </c>
      <c r="G594">
        <v>199012</v>
      </c>
      <c r="H594">
        <v>63</v>
      </c>
      <c r="I594">
        <v>85</v>
      </c>
      <c r="J594">
        <v>1488</v>
      </c>
      <c r="K594">
        <v>922616</v>
      </c>
      <c r="L594" t="s">
        <v>1187</v>
      </c>
      <c r="M594" t="str">
        <f>"27400"</f>
        <v>27400</v>
      </c>
      <c r="N594" t="str">
        <f>"27400"</f>
        <v>27400</v>
      </c>
      <c r="O594" t="str">
        <f>""</f>
        <v/>
      </c>
      <c r="P594" t="s">
        <v>1227</v>
      </c>
      <c r="Q594" t="str">
        <f>""</f>
        <v/>
      </c>
      <c r="U594">
        <v>3357</v>
      </c>
      <c r="V594" t="s">
        <v>1227</v>
      </c>
      <c r="W594" t="s">
        <v>1227</v>
      </c>
      <c r="X594" t="s">
        <v>224</v>
      </c>
    </row>
    <row r="595" spans="1:24">
      <c r="A595">
        <v>13527</v>
      </c>
      <c r="B595" t="s">
        <v>25</v>
      </c>
      <c r="C595" t="str">
        <f t="shared" si="18"/>
        <v>INTEGRA Saloon</v>
      </c>
      <c r="D595" t="str">
        <f t="shared" si="19"/>
        <v>1.5</v>
      </c>
      <c r="E595" t="s">
        <v>26</v>
      </c>
      <c r="F595">
        <v>198501</v>
      </c>
      <c r="G595">
        <v>199012</v>
      </c>
      <c r="H595">
        <v>63</v>
      </c>
      <c r="I595">
        <v>85</v>
      </c>
      <c r="J595">
        <v>1488</v>
      </c>
      <c r="K595">
        <v>2738747</v>
      </c>
      <c r="L595" t="s">
        <v>1177</v>
      </c>
      <c r="M595" t="str">
        <f>"5038"</f>
        <v>5038</v>
      </c>
      <c r="N595" t="str">
        <f>"5038"</f>
        <v>5038</v>
      </c>
      <c r="O595" t="str">
        <f>""</f>
        <v/>
      </c>
      <c r="P595" t="s">
        <v>1228</v>
      </c>
      <c r="Q595" t="str">
        <f>""</f>
        <v/>
      </c>
      <c r="U595">
        <v>3357</v>
      </c>
      <c r="V595" t="s">
        <v>1227</v>
      </c>
      <c r="W595" t="s">
        <v>1227</v>
      </c>
      <c r="X595" t="s">
        <v>224</v>
      </c>
    </row>
    <row r="596" spans="1:24">
      <c r="A596">
        <v>13527</v>
      </c>
      <c r="B596" t="s">
        <v>25</v>
      </c>
      <c r="C596" t="str">
        <f t="shared" si="18"/>
        <v>INTEGRA Saloon</v>
      </c>
      <c r="D596" t="str">
        <f t="shared" si="19"/>
        <v>1.5</v>
      </c>
      <c r="E596" t="s">
        <v>26</v>
      </c>
      <c r="F596">
        <v>198501</v>
      </c>
      <c r="G596">
        <v>199012</v>
      </c>
      <c r="H596">
        <v>63</v>
      </c>
      <c r="I596">
        <v>85</v>
      </c>
      <c r="J596">
        <v>1488</v>
      </c>
      <c r="K596">
        <v>2738748</v>
      </c>
      <c r="L596" t="s">
        <v>1177</v>
      </c>
      <c r="M596" t="str">
        <f>"5039"</f>
        <v>5039</v>
      </c>
      <c r="N596" t="str">
        <f>"5039"</f>
        <v>5039</v>
      </c>
      <c r="O596" t="str">
        <f>""</f>
        <v/>
      </c>
      <c r="P596" t="s">
        <v>1228</v>
      </c>
      <c r="Q596" t="str">
        <f>""</f>
        <v/>
      </c>
      <c r="U596">
        <v>3357</v>
      </c>
      <c r="V596" t="s">
        <v>1227</v>
      </c>
      <c r="W596" t="s">
        <v>1227</v>
      </c>
      <c r="X596" t="s">
        <v>224</v>
      </c>
    </row>
    <row r="597" spans="1:24">
      <c r="A597">
        <v>13527</v>
      </c>
      <c r="B597" t="s">
        <v>25</v>
      </c>
      <c r="C597" t="str">
        <f t="shared" si="18"/>
        <v>INTEGRA Saloon</v>
      </c>
      <c r="D597" t="str">
        <f t="shared" si="19"/>
        <v>1.5</v>
      </c>
      <c r="E597" t="s">
        <v>26</v>
      </c>
      <c r="F597">
        <v>198501</v>
      </c>
      <c r="G597">
        <v>199012</v>
      </c>
      <c r="H597">
        <v>63</v>
      </c>
      <c r="I597">
        <v>85</v>
      </c>
      <c r="J597">
        <v>1488</v>
      </c>
      <c r="K597">
        <v>2739514</v>
      </c>
      <c r="L597" t="s">
        <v>1180</v>
      </c>
      <c r="M597" t="str">
        <f>"5038"</f>
        <v>5038</v>
      </c>
      <c r="N597" t="str">
        <f>"5038"</f>
        <v>5038</v>
      </c>
      <c r="O597" t="str">
        <f>""</f>
        <v/>
      </c>
      <c r="P597" t="s">
        <v>1228</v>
      </c>
      <c r="Q597" t="str">
        <f>""</f>
        <v/>
      </c>
      <c r="U597">
        <v>3357</v>
      </c>
      <c r="V597" t="s">
        <v>1227</v>
      </c>
      <c r="W597" t="s">
        <v>1227</v>
      </c>
      <c r="X597" t="s">
        <v>224</v>
      </c>
    </row>
    <row r="598" spans="1:24">
      <c r="A598">
        <v>13527</v>
      </c>
      <c r="B598" t="s">
        <v>25</v>
      </c>
      <c r="C598" t="str">
        <f t="shared" si="18"/>
        <v>INTEGRA Saloon</v>
      </c>
      <c r="D598" t="str">
        <f t="shared" si="19"/>
        <v>1.5</v>
      </c>
      <c r="E598" t="s">
        <v>26</v>
      </c>
      <c r="F598">
        <v>198501</v>
      </c>
      <c r="G598">
        <v>199012</v>
      </c>
      <c r="H598">
        <v>63</v>
      </c>
      <c r="I598">
        <v>85</v>
      </c>
      <c r="J598">
        <v>1488</v>
      </c>
      <c r="K598">
        <v>2739515</v>
      </c>
      <c r="L598" t="s">
        <v>1180</v>
      </c>
      <c r="M598" t="str">
        <f>"5039"</f>
        <v>5039</v>
      </c>
      <c r="N598" t="str">
        <f>"5039"</f>
        <v>5039</v>
      </c>
      <c r="O598" t="str">
        <f>""</f>
        <v/>
      </c>
      <c r="P598" t="s">
        <v>1228</v>
      </c>
      <c r="Q598" t="str">
        <f>""</f>
        <v/>
      </c>
      <c r="U598">
        <v>3357</v>
      </c>
      <c r="V598" t="s">
        <v>1227</v>
      </c>
      <c r="W598" t="s">
        <v>1227</v>
      </c>
      <c r="X598" t="s">
        <v>224</v>
      </c>
    </row>
    <row r="599" spans="1:24">
      <c r="A599">
        <v>13527</v>
      </c>
      <c r="B599" t="s">
        <v>25</v>
      </c>
      <c r="C599" t="str">
        <f t="shared" si="18"/>
        <v>INTEGRA Saloon</v>
      </c>
      <c r="D599" t="str">
        <f t="shared" si="19"/>
        <v>1.5</v>
      </c>
      <c r="E599" t="s">
        <v>26</v>
      </c>
      <c r="F599">
        <v>198501</v>
      </c>
      <c r="G599">
        <v>199012</v>
      </c>
      <c r="H599">
        <v>63</v>
      </c>
      <c r="I599">
        <v>85</v>
      </c>
      <c r="J599">
        <v>1488</v>
      </c>
      <c r="K599">
        <v>2861619</v>
      </c>
      <c r="L599" t="s">
        <v>1181</v>
      </c>
      <c r="M599" t="str">
        <f>"0711"</f>
        <v>0711</v>
      </c>
      <c r="N599" t="str">
        <f>"0711"</f>
        <v>0711</v>
      </c>
      <c r="O599" t="str">
        <f>""</f>
        <v/>
      </c>
      <c r="P599" t="s">
        <v>1227</v>
      </c>
      <c r="Q599" t="str">
        <f>""</f>
        <v/>
      </c>
      <c r="U599">
        <v>3357</v>
      </c>
      <c r="V599" t="s">
        <v>1227</v>
      </c>
      <c r="W599" t="s">
        <v>1227</v>
      </c>
      <c r="X599" t="s">
        <v>224</v>
      </c>
    </row>
    <row r="600" spans="1:24">
      <c r="A600">
        <v>13527</v>
      </c>
      <c r="B600" t="s">
        <v>25</v>
      </c>
      <c r="C600" t="str">
        <f t="shared" si="18"/>
        <v>INTEGRA Saloon</v>
      </c>
      <c r="D600" t="str">
        <f t="shared" si="19"/>
        <v>1.5</v>
      </c>
      <c r="E600" t="s">
        <v>26</v>
      </c>
      <c r="F600">
        <v>198501</v>
      </c>
      <c r="G600">
        <v>199012</v>
      </c>
      <c r="H600">
        <v>63</v>
      </c>
      <c r="I600">
        <v>85</v>
      </c>
      <c r="J600">
        <v>1488</v>
      </c>
      <c r="K600">
        <v>2861624</v>
      </c>
      <c r="L600" t="s">
        <v>1181</v>
      </c>
      <c r="M600" t="str">
        <f>"0712"</f>
        <v>0712</v>
      </c>
      <c r="N600" t="str">
        <f>"0712"</f>
        <v>0712</v>
      </c>
      <c r="O600" t="str">
        <f>""</f>
        <v/>
      </c>
      <c r="P600" t="s">
        <v>1227</v>
      </c>
      <c r="Q600" t="str">
        <f>""</f>
        <v/>
      </c>
      <c r="U600">
        <v>3357</v>
      </c>
      <c r="V600" t="s">
        <v>1227</v>
      </c>
      <c r="W600" t="s">
        <v>1227</v>
      </c>
      <c r="X600" t="s">
        <v>224</v>
      </c>
    </row>
    <row r="601" spans="1:24">
      <c r="A601">
        <v>13527</v>
      </c>
      <c r="B601" t="s">
        <v>25</v>
      </c>
      <c r="C601" t="str">
        <f t="shared" si="18"/>
        <v>INTEGRA Saloon</v>
      </c>
      <c r="D601" t="str">
        <f t="shared" si="19"/>
        <v>1.5</v>
      </c>
      <c r="E601" t="s">
        <v>26</v>
      </c>
      <c r="F601">
        <v>198501</v>
      </c>
      <c r="G601">
        <v>199012</v>
      </c>
      <c r="H601">
        <v>63</v>
      </c>
      <c r="I601">
        <v>85</v>
      </c>
      <c r="J601">
        <v>1488</v>
      </c>
      <c r="K601">
        <v>2861974</v>
      </c>
      <c r="L601" t="s">
        <v>1181</v>
      </c>
      <c r="M601" t="str">
        <f>"BRAKEFLUIDDOT4"</f>
        <v>BRAKEFLUIDDOT4</v>
      </c>
      <c r="N601" t="str">
        <f>"Brake Fluid DOT 4"</f>
        <v>Brake Fluid DOT 4</v>
      </c>
      <c r="O601" t="str">
        <f>""</f>
        <v/>
      </c>
      <c r="P601" t="s">
        <v>1228</v>
      </c>
      <c r="Q601" t="str">
        <f>""</f>
        <v/>
      </c>
      <c r="S601" t="s">
        <v>1229</v>
      </c>
      <c r="U601">
        <v>3357</v>
      </c>
      <c r="V601" t="s">
        <v>1227</v>
      </c>
      <c r="W601" t="s">
        <v>1227</v>
      </c>
      <c r="X601" t="s">
        <v>224</v>
      </c>
    </row>
    <row r="602" spans="1:24">
      <c r="A602">
        <v>13527</v>
      </c>
      <c r="B602" t="s">
        <v>25</v>
      </c>
      <c r="C602" t="str">
        <f t="shared" si="18"/>
        <v>INTEGRA Saloon</v>
      </c>
      <c r="D602" t="str">
        <f t="shared" si="19"/>
        <v>1.5</v>
      </c>
      <c r="E602" t="s">
        <v>26</v>
      </c>
      <c r="F602">
        <v>198501</v>
      </c>
      <c r="G602">
        <v>199012</v>
      </c>
      <c r="H602">
        <v>63</v>
      </c>
      <c r="I602">
        <v>85</v>
      </c>
      <c r="J602">
        <v>1488</v>
      </c>
      <c r="K602">
        <v>2862015</v>
      </c>
      <c r="L602" t="s">
        <v>1181</v>
      </c>
      <c r="M602" t="str">
        <f>"REACTPERFORMANCEDOT4"</f>
        <v>REACTPERFORMANCEDOT4</v>
      </c>
      <c r="N602" t="str">
        <f>"React Performance DOT4"</f>
        <v>React Performance DOT4</v>
      </c>
      <c r="O602" t="str">
        <f>""</f>
        <v/>
      </c>
      <c r="P602" t="s">
        <v>1228</v>
      </c>
      <c r="Q602" t="str">
        <f>""</f>
        <v/>
      </c>
      <c r="S602" t="s">
        <v>1229</v>
      </c>
      <c r="U602">
        <v>3357</v>
      </c>
      <c r="V602" t="s">
        <v>1227</v>
      </c>
      <c r="W602" t="s">
        <v>1227</v>
      </c>
      <c r="X602" t="s">
        <v>224</v>
      </c>
    </row>
    <row r="603" spans="1:24">
      <c r="A603">
        <v>13527</v>
      </c>
      <c r="B603" t="s">
        <v>25</v>
      </c>
      <c r="C603" t="str">
        <f t="shared" si="18"/>
        <v>INTEGRA Saloon</v>
      </c>
      <c r="D603" t="str">
        <f t="shared" si="19"/>
        <v>1.5</v>
      </c>
      <c r="E603" t="s">
        <v>26</v>
      </c>
      <c r="F603">
        <v>198501</v>
      </c>
      <c r="G603">
        <v>199012</v>
      </c>
      <c r="H603">
        <v>63</v>
      </c>
      <c r="I603">
        <v>85</v>
      </c>
      <c r="J603">
        <v>1488</v>
      </c>
      <c r="K603">
        <v>2862016</v>
      </c>
      <c r="L603" t="s">
        <v>1181</v>
      </c>
      <c r="M603" t="str">
        <f>"REACTSRFRACING"</f>
        <v>REACTSRFRACING</v>
      </c>
      <c r="N603" t="str">
        <f>"React SRF Racing"</f>
        <v>React SRF Racing</v>
      </c>
      <c r="O603" t="str">
        <f>""</f>
        <v/>
      </c>
      <c r="P603" t="s">
        <v>1228</v>
      </c>
      <c r="Q603" t="str">
        <f>""</f>
        <v/>
      </c>
      <c r="S603" t="s">
        <v>1229</v>
      </c>
      <c r="U603">
        <v>3357</v>
      </c>
      <c r="V603" t="s">
        <v>1227</v>
      </c>
      <c r="W603" t="s">
        <v>1227</v>
      </c>
      <c r="X603" t="s">
        <v>224</v>
      </c>
    </row>
    <row r="604" spans="1:24">
      <c r="A604">
        <v>13527</v>
      </c>
      <c r="B604" t="s">
        <v>25</v>
      </c>
      <c r="C604" t="str">
        <f t="shared" si="18"/>
        <v>INTEGRA Saloon</v>
      </c>
      <c r="D604" t="str">
        <f t="shared" si="19"/>
        <v>1.5</v>
      </c>
      <c r="E604" t="s">
        <v>26</v>
      </c>
      <c r="F604">
        <v>198501</v>
      </c>
      <c r="G604">
        <v>199012</v>
      </c>
      <c r="H604">
        <v>63</v>
      </c>
      <c r="I604">
        <v>85</v>
      </c>
      <c r="J604">
        <v>1488</v>
      </c>
      <c r="K604">
        <v>3634200</v>
      </c>
      <c r="L604" t="s">
        <v>1184</v>
      </c>
      <c r="M604" t="str">
        <f>"VTBRAKEFLDOT4"</f>
        <v>VTBRAKEFLDOT4</v>
      </c>
      <c r="N604" t="str">
        <f>"VTBRAKEFLDOT4"</f>
        <v>VTBRAKEFLDOT4</v>
      </c>
      <c r="O604" t="str">
        <f>""</f>
        <v/>
      </c>
      <c r="P604" t="s">
        <v>1228</v>
      </c>
      <c r="Q604" t="str">
        <f>""</f>
        <v/>
      </c>
      <c r="U604">
        <v>3357</v>
      </c>
      <c r="V604" t="s">
        <v>1227</v>
      </c>
      <c r="W604" t="s">
        <v>1227</v>
      </c>
      <c r="X604" t="s">
        <v>224</v>
      </c>
    </row>
    <row r="605" spans="1:24">
      <c r="A605">
        <v>13527</v>
      </c>
      <c r="B605" t="s">
        <v>25</v>
      </c>
      <c r="C605" t="str">
        <f t="shared" si="18"/>
        <v>INTEGRA Saloon</v>
      </c>
      <c r="D605" t="str">
        <f t="shared" si="19"/>
        <v>1.5</v>
      </c>
      <c r="E605" t="s">
        <v>26</v>
      </c>
      <c r="F605">
        <v>198501</v>
      </c>
      <c r="G605">
        <v>199012</v>
      </c>
      <c r="H605">
        <v>63</v>
      </c>
      <c r="I605">
        <v>85</v>
      </c>
      <c r="J605">
        <v>1488</v>
      </c>
      <c r="K605">
        <v>3748693</v>
      </c>
      <c r="L605" t="s">
        <v>1185</v>
      </c>
      <c r="M605" t="str">
        <f>"E801300"</f>
        <v>E801300</v>
      </c>
      <c r="N605" t="str">
        <f>"E801300"</f>
        <v>E801300</v>
      </c>
      <c r="O605" t="str">
        <f>""</f>
        <v/>
      </c>
      <c r="P605" t="s">
        <v>1228</v>
      </c>
      <c r="Q605" t="str">
        <f>""</f>
        <v/>
      </c>
      <c r="U605">
        <v>3357</v>
      </c>
      <c r="V605" t="s">
        <v>1227</v>
      </c>
      <c r="W605" t="s">
        <v>1227</v>
      </c>
      <c r="X605" t="s">
        <v>224</v>
      </c>
    </row>
    <row r="606" spans="1:24">
      <c r="A606">
        <v>13527</v>
      </c>
      <c r="B606" t="s">
        <v>25</v>
      </c>
      <c r="C606" t="str">
        <f t="shared" si="18"/>
        <v>INTEGRA Saloon</v>
      </c>
      <c r="D606" t="str">
        <f t="shared" si="19"/>
        <v>1.5</v>
      </c>
      <c r="E606" t="s">
        <v>26</v>
      </c>
      <c r="F606">
        <v>198501</v>
      </c>
      <c r="G606">
        <v>199012</v>
      </c>
      <c r="H606">
        <v>63</v>
      </c>
      <c r="I606">
        <v>85</v>
      </c>
      <c r="J606">
        <v>1488</v>
      </c>
      <c r="K606">
        <v>3748699</v>
      </c>
      <c r="L606" t="s">
        <v>1185</v>
      </c>
      <c r="M606" t="str">
        <f>"E801400"</f>
        <v>E801400</v>
      </c>
      <c r="N606" t="str">
        <f>"E801400"</f>
        <v>E801400</v>
      </c>
      <c r="O606" t="str">
        <f>""</f>
        <v/>
      </c>
      <c r="P606" t="s">
        <v>1228</v>
      </c>
      <c r="Q606" t="str">
        <f>""</f>
        <v/>
      </c>
      <c r="U606">
        <v>3357</v>
      </c>
      <c r="V606" t="s">
        <v>1227</v>
      </c>
      <c r="W606" t="s">
        <v>1227</v>
      </c>
      <c r="X606" t="s">
        <v>224</v>
      </c>
    </row>
    <row r="607" spans="1:24">
      <c r="A607">
        <v>13527</v>
      </c>
      <c r="B607" t="s">
        <v>25</v>
      </c>
      <c r="C607" t="str">
        <f t="shared" si="18"/>
        <v>INTEGRA Saloon</v>
      </c>
      <c r="D607" t="str">
        <f t="shared" si="19"/>
        <v>1.5</v>
      </c>
      <c r="E607" t="s">
        <v>26</v>
      </c>
      <c r="F607">
        <v>198501</v>
      </c>
      <c r="G607">
        <v>199012</v>
      </c>
      <c r="H607">
        <v>63</v>
      </c>
      <c r="I607">
        <v>85</v>
      </c>
      <c r="J607">
        <v>1488</v>
      </c>
      <c r="K607">
        <v>3748706</v>
      </c>
      <c r="L607" t="s">
        <v>1185</v>
      </c>
      <c r="M607" t="str">
        <f>"E801410"</f>
        <v>E801410</v>
      </c>
      <c r="N607" t="str">
        <f>"E801410"</f>
        <v>E801410</v>
      </c>
      <c r="O607" t="str">
        <f>""</f>
        <v/>
      </c>
      <c r="P607" t="s">
        <v>1228</v>
      </c>
      <c r="Q607" t="str">
        <f>""</f>
        <v/>
      </c>
      <c r="U607">
        <v>3357</v>
      </c>
      <c r="V607" t="s">
        <v>1227</v>
      </c>
      <c r="W607" t="s">
        <v>1227</v>
      </c>
      <c r="X607" t="s">
        <v>224</v>
      </c>
    </row>
    <row r="608" spans="1:24">
      <c r="A608">
        <v>13527</v>
      </c>
      <c r="B608" t="s">
        <v>25</v>
      </c>
      <c r="C608" t="str">
        <f t="shared" si="18"/>
        <v>INTEGRA Saloon</v>
      </c>
      <c r="D608" t="str">
        <f t="shared" si="19"/>
        <v>1.5</v>
      </c>
      <c r="E608" t="s">
        <v>26</v>
      </c>
      <c r="F608">
        <v>198501</v>
      </c>
      <c r="G608">
        <v>199012</v>
      </c>
      <c r="H608">
        <v>63</v>
      </c>
      <c r="I608">
        <v>85</v>
      </c>
      <c r="J608">
        <v>1488</v>
      </c>
      <c r="K608">
        <v>3920261</v>
      </c>
      <c r="L608" t="s">
        <v>1187</v>
      </c>
      <c r="M608" t="str">
        <f>"27250"</f>
        <v>27250</v>
      </c>
      <c r="N608" t="str">
        <f>"27250"</f>
        <v>27250</v>
      </c>
      <c r="O608" t="str">
        <f>""</f>
        <v/>
      </c>
      <c r="P608" t="s">
        <v>1227</v>
      </c>
      <c r="Q608" t="str">
        <f>""</f>
        <v/>
      </c>
      <c r="U608">
        <v>3357</v>
      </c>
      <c r="V608" t="s">
        <v>1227</v>
      </c>
      <c r="W608" t="s">
        <v>1227</v>
      </c>
      <c r="X608" t="s">
        <v>224</v>
      </c>
    </row>
    <row r="609" spans="1:25">
      <c r="A609">
        <v>13527</v>
      </c>
      <c r="B609" t="s">
        <v>25</v>
      </c>
      <c r="C609" t="str">
        <f t="shared" si="18"/>
        <v>INTEGRA Saloon</v>
      </c>
      <c r="D609" t="str">
        <f t="shared" si="19"/>
        <v>1.5</v>
      </c>
      <c r="E609" t="s">
        <v>26</v>
      </c>
      <c r="F609">
        <v>198501</v>
      </c>
      <c r="G609">
        <v>199012</v>
      </c>
      <c r="H609">
        <v>63</v>
      </c>
      <c r="I609">
        <v>85</v>
      </c>
      <c r="J609">
        <v>1488</v>
      </c>
      <c r="K609">
        <v>4085726</v>
      </c>
      <c r="L609" t="s">
        <v>1190</v>
      </c>
      <c r="M609" t="str">
        <f>"1350601"</f>
        <v>1350601</v>
      </c>
      <c r="N609" t="str">
        <f>"1350601"</f>
        <v>1350601</v>
      </c>
      <c r="O609" t="str">
        <f>""</f>
        <v/>
      </c>
      <c r="P609" t="s">
        <v>1228</v>
      </c>
      <c r="Q609" t="str">
        <f>""</f>
        <v/>
      </c>
      <c r="T609" s="1" t="s">
        <v>1230</v>
      </c>
      <c r="U609">
        <v>3357</v>
      </c>
      <c r="V609" t="s">
        <v>1227</v>
      </c>
      <c r="W609" t="s">
        <v>1227</v>
      </c>
      <c r="X609" t="s">
        <v>224</v>
      </c>
    </row>
    <row r="610" spans="1:25">
      <c r="A610">
        <v>13527</v>
      </c>
      <c r="B610" t="s">
        <v>25</v>
      </c>
      <c r="C610" t="str">
        <f t="shared" si="18"/>
        <v>INTEGRA Saloon</v>
      </c>
      <c r="D610" t="str">
        <f t="shared" si="19"/>
        <v>1.5</v>
      </c>
      <c r="E610" t="s">
        <v>26</v>
      </c>
      <c r="F610">
        <v>198501</v>
      </c>
      <c r="G610">
        <v>199012</v>
      </c>
      <c r="H610">
        <v>63</v>
      </c>
      <c r="I610">
        <v>85</v>
      </c>
      <c r="J610">
        <v>1488</v>
      </c>
      <c r="K610">
        <v>3848940</v>
      </c>
      <c r="L610" t="s">
        <v>1231</v>
      </c>
      <c r="M610" t="str">
        <f>"13AV0887L"</f>
        <v>13AV0887L</v>
      </c>
      <c r="N610" t="str">
        <f>"13AV0887L"</f>
        <v>13AV0887L</v>
      </c>
      <c r="O610" t="str">
        <f>""</f>
        <v/>
      </c>
      <c r="P610" t="s">
        <v>174</v>
      </c>
      <c r="Q610" t="str">
        <f>"3275591569664"</f>
        <v>3275591569664</v>
      </c>
      <c r="R610" t="s">
        <v>1232</v>
      </c>
      <c r="S610" t="s">
        <v>175</v>
      </c>
      <c r="T610" s="1" t="s">
        <v>1233</v>
      </c>
      <c r="U610">
        <v>3568</v>
      </c>
      <c r="V610" t="s">
        <v>174</v>
      </c>
      <c r="W610" t="s">
        <v>1234</v>
      </c>
      <c r="X610" t="s">
        <v>178</v>
      </c>
      <c r="Y610" t="s">
        <v>174</v>
      </c>
    </row>
    <row r="611" spans="1:25">
      <c r="A611">
        <v>13527</v>
      </c>
      <c r="B611" t="s">
        <v>25</v>
      </c>
      <c r="C611" t="str">
        <f t="shared" si="18"/>
        <v>INTEGRA Saloon</v>
      </c>
      <c r="D611" t="str">
        <f t="shared" si="19"/>
        <v>1.5</v>
      </c>
      <c r="E611" t="s">
        <v>26</v>
      </c>
      <c r="F611">
        <v>198501</v>
      </c>
      <c r="G611">
        <v>199012</v>
      </c>
      <c r="H611">
        <v>63</v>
      </c>
      <c r="I611">
        <v>85</v>
      </c>
      <c r="J611">
        <v>1488</v>
      </c>
      <c r="K611">
        <v>2671745</v>
      </c>
      <c r="L611" t="s">
        <v>1235</v>
      </c>
      <c r="M611" t="str">
        <f>"120599"</f>
        <v>120599</v>
      </c>
      <c r="N611" t="str">
        <f>"120599"</f>
        <v>120599</v>
      </c>
      <c r="O611" t="str">
        <f>""</f>
        <v/>
      </c>
      <c r="P611" t="s">
        <v>1236</v>
      </c>
      <c r="Q611" t="str">
        <f>""</f>
        <v/>
      </c>
      <c r="U611">
        <v>5171</v>
      </c>
      <c r="V611" t="s">
        <v>1236</v>
      </c>
      <c r="W611" t="s">
        <v>1236</v>
      </c>
      <c r="X611" t="s">
        <v>1237</v>
      </c>
    </row>
    <row r="612" spans="1:25">
      <c r="A612">
        <v>13527</v>
      </c>
      <c r="B612" t="s">
        <v>25</v>
      </c>
      <c r="C612" t="str">
        <f t="shared" si="18"/>
        <v>INTEGRA Saloon</v>
      </c>
      <c r="D612" t="str">
        <f t="shared" si="19"/>
        <v>1.5</v>
      </c>
      <c r="E612" t="s">
        <v>26</v>
      </c>
      <c r="F612">
        <v>198501</v>
      </c>
      <c r="G612">
        <v>199012</v>
      </c>
      <c r="H612">
        <v>63</v>
      </c>
      <c r="I612">
        <v>85</v>
      </c>
      <c r="J612">
        <v>1488</v>
      </c>
      <c r="K612">
        <v>2671746</v>
      </c>
      <c r="L612" t="s">
        <v>1235</v>
      </c>
      <c r="M612" t="str">
        <f>"120600"</f>
        <v>120600</v>
      </c>
      <c r="N612" t="str">
        <f>"120600"</f>
        <v>120600</v>
      </c>
      <c r="O612" t="str">
        <f>""</f>
        <v/>
      </c>
      <c r="P612" t="s">
        <v>1236</v>
      </c>
      <c r="Q612" t="str">
        <f>""</f>
        <v/>
      </c>
      <c r="U612">
        <v>5171</v>
      </c>
      <c r="V612" t="s">
        <v>1236</v>
      </c>
      <c r="W612" t="s">
        <v>1236</v>
      </c>
      <c r="X612" t="s">
        <v>1237</v>
      </c>
    </row>
    <row r="613" spans="1:25">
      <c r="A613">
        <v>13527</v>
      </c>
      <c r="B613" t="s">
        <v>25</v>
      </c>
      <c r="C613" t="str">
        <f t="shared" si="18"/>
        <v>INTEGRA Saloon</v>
      </c>
      <c r="D613" t="str">
        <f t="shared" si="19"/>
        <v>1.5</v>
      </c>
      <c r="E613" t="s">
        <v>26</v>
      </c>
      <c r="F613">
        <v>198501</v>
      </c>
      <c r="G613">
        <v>199012</v>
      </c>
      <c r="H613">
        <v>63</v>
      </c>
      <c r="I613">
        <v>85</v>
      </c>
      <c r="J613">
        <v>1488</v>
      </c>
      <c r="K613">
        <v>2671747</v>
      </c>
      <c r="L613" t="s">
        <v>1235</v>
      </c>
      <c r="M613" t="str">
        <f>"120601"</f>
        <v>120601</v>
      </c>
      <c r="N613" t="str">
        <f>"120601"</f>
        <v>120601</v>
      </c>
      <c r="O613" t="str">
        <f>""</f>
        <v/>
      </c>
      <c r="P613" t="s">
        <v>1236</v>
      </c>
      <c r="Q613" t="str">
        <f>""</f>
        <v/>
      </c>
      <c r="U613">
        <v>5171</v>
      </c>
      <c r="V613" t="s">
        <v>1236</v>
      </c>
      <c r="W613" t="s">
        <v>1236</v>
      </c>
      <c r="X613" t="s">
        <v>1237</v>
      </c>
    </row>
    <row r="614" spans="1:25">
      <c r="A614">
        <v>13527</v>
      </c>
      <c r="B614" t="s">
        <v>25</v>
      </c>
      <c r="C614" t="str">
        <f t="shared" si="18"/>
        <v>INTEGRA Saloon</v>
      </c>
      <c r="D614" t="str">
        <f t="shared" si="19"/>
        <v>1.5</v>
      </c>
      <c r="E614" t="s">
        <v>26</v>
      </c>
      <c r="F614">
        <v>198501</v>
      </c>
      <c r="G614">
        <v>199012</v>
      </c>
      <c r="H614">
        <v>63</v>
      </c>
      <c r="I614">
        <v>85</v>
      </c>
      <c r="J614">
        <v>1488</v>
      </c>
      <c r="K614">
        <v>2671748</v>
      </c>
      <c r="L614" t="s">
        <v>1235</v>
      </c>
      <c r="M614" t="str">
        <f>"120602"</f>
        <v>120602</v>
      </c>
      <c r="N614" t="str">
        <f>"120602"</f>
        <v>120602</v>
      </c>
      <c r="O614" t="str">
        <f>""</f>
        <v/>
      </c>
      <c r="P614" t="s">
        <v>1236</v>
      </c>
      <c r="Q614" t="str">
        <f>""</f>
        <v/>
      </c>
      <c r="U614">
        <v>5171</v>
      </c>
      <c r="V614" t="s">
        <v>1236</v>
      </c>
      <c r="W614" t="s">
        <v>1236</v>
      </c>
      <c r="X614" t="s">
        <v>1237</v>
      </c>
    </row>
    <row r="615" spans="1:25">
      <c r="A615">
        <v>13527</v>
      </c>
      <c r="B615" t="s">
        <v>25</v>
      </c>
      <c r="C615" t="str">
        <f t="shared" si="18"/>
        <v>INTEGRA Saloon</v>
      </c>
      <c r="D615" t="str">
        <f t="shared" si="19"/>
        <v>1.5</v>
      </c>
      <c r="E615" t="s">
        <v>26</v>
      </c>
      <c r="F615">
        <v>198501</v>
      </c>
      <c r="G615">
        <v>199012</v>
      </c>
      <c r="H615">
        <v>63</v>
      </c>
      <c r="I615">
        <v>85</v>
      </c>
      <c r="J615">
        <v>1488</v>
      </c>
      <c r="K615">
        <v>2671749</v>
      </c>
      <c r="L615" t="s">
        <v>1235</v>
      </c>
      <c r="M615" t="str">
        <f>"120603"</f>
        <v>120603</v>
      </c>
      <c r="N615" t="str">
        <f>"120603"</f>
        <v>120603</v>
      </c>
      <c r="O615" t="str">
        <f>""</f>
        <v/>
      </c>
      <c r="P615" t="s">
        <v>1236</v>
      </c>
      <c r="Q615" t="str">
        <f>""</f>
        <v/>
      </c>
      <c r="U615">
        <v>5171</v>
      </c>
      <c r="V615" t="s">
        <v>1236</v>
      </c>
      <c r="W615" t="s">
        <v>1236</v>
      </c>
      <c r="X615" t="s">
        <v>1237</v>
      </c>
    </row>
    <row r="616" spans="1:25">
      <c r="A616">
        <v>13527</v>
      </c>
      <c r="B616" t="s">
        <v>25</v>
      </c>
      <c r="C616" t="str">
        <f t="shared" si="18"/>
        <v>INTEGRA Saloon</v>
      </c>
      <c r="D616" t="str">
        <f t="shared" si="19"/>
        <v>1.5</v>
      </c>
      <c r="E616" t="s">
        <v>26</v>
      </c>
      <c r="F616">
        <v>198501</v>
      </c>
      <c r="G616">
        <v>199012</v>
      </c>
      <c r="H616">
        <v>63</v>
      </c>
      <c r="I616">
        <v>85</v>
      </c>
      <c r="J616">
        <v>1488</v>
      </c>
      <c r="K616">
        <v>2671750</v>
      </c>
      <c r="L616" t="s">
        <v>1235</v>
      </c>
      <c r="M616" t="str">
        <f>"120604"</f>
        <v>120604</v>
      </c>
      <c r="N616" t="str">
        <f>"120604"</f>
        <v>120604</v>
      </c>
      <c r="O616" t="str">
        <f>""</f>
        <v/>
      </c>
      <c r="P616" t="s">
        <v>1236</v>
      </c>
      <c r="Q616" t="str">
        <f>""</f>
        <v/>
      </c>
      <c r="U616">
        <v>5171</v>
      </c>
      <c r="V616" t="s">
        <v>1236</v>
      </c>
      <c r="W616" t="s">
        <v>1236</v>
      </c>
      <c r="X616" t="s">
        <v>1237</v>
      </c>
    </row>
    <row r="617" spans="1:25">
      <c r="A617">
        <v>13527</v>
      </c>
      <c r="B617" t="s">
        <v>25</v>
      </c>
      <c r="C617" t="str">
        <f t="shared" si="18"/>
        <v>INTEGRA Saloon</v>
      </c>
      <c r="D617" t="str">
        <f t="shared" si="19"/>
        <v>1.5</v>
      </c>
      <c r="E617" t="s">
        <v>26</v>
      </c>
      <c r="F617">
        <v>198501</v>
      </c>
      <c r="G617">
        <v>199012</v>
      </c>
      <c r="H617">
        <v>63</v>
      </c>
      <c r="I617">
        <v>85</v>
      </c>
      <c r="J617">
        <v>1488</v>
      </c>
      <c r="K617">
        <v>2671751</v>
      </c>
      <c r="L617" t="s">
        <v>1235</v>
      </c>
      <c r="M617" t="str">
        <f>"120607"</f>
        <v>120607</v>
      </c>
      <c r="N617" t="str">
        <f>"120607"</f>
        <v>120607</v>
      </c>
      <c r="O617" t="str">
        <f>""</f>
        <v/>
      </c>
      <c r="P617" t="s">
        <v>1236</v>
      </c>
      <c r="Q617" t="str">
        <f>""</f>
        <v/>
      </c>
      <c r="U617">
        <v>5171</v>
      </c>
      <c r="V617" t="s">
        <v>1236</v>
      </c>
      <c r="W617" t="s">
        <v>1236</v>
      </c>
      <c r="X617" t="s">
        <v>1237</v>
      </c>
    </row>
    <row r="618" spans="1:25">
      <c r="A618">
        <v>13529</v>
      </c>
      <c r="B618" t="s">
        <v>25</v>
      </c>
      <c r="C618" t="str">
        <f t="shared" si="18"/>
        <v>INTEGRA Saloon</v>
      </c>
      <c r="D618" t="str">
        <f t="shared" ref="D618:D681" si="20">"1.6"</f>
        <v>1.6</v>
      </c>
      <c r="E618" t="s">
        <v>26</v>
      </c>
      <c r="F618">
        <v>198501</v>
      </c>
      <c r="G618">
        <v>199012</v>
      </c>
      <c r="H618">
        <v>74</v>
      </c>
      <c r="I618">
        <v>100</v>
      </c>
      <c r="J618">
        <v>1590</v>
      </c>
      <c r="K618">
        <v>3960330</v>
      </c>
      <c r="L618" t="s">
        <v>27</v>
      </c>
      <c r="M618" t="str">
        <f>"A54524GL"</f>
        <v>A54524GL</v>
      </c>
      <c r="N618" t="str">
        <f>"A54524GL"</f>
        <v>A54524GL</v>
      </c>
      <c r="O618" t="str">
        <f>""</f>
        <v/>
      </c>
      <c r="P618" t="s">
        <v>28</v>
      </c>
      <c r="Q618" t="str">
        <f>""</f>
        <v/>
      </c>
      <c r="U618">
        <v>1</v>
      </c>
      <c r="V618" t="s">
        <v>28</v>
      </c>
      <c r="W618" t="s">
        <v>29</v>
      </c>
      <c r="X618" t="s">
        <v>30</v>
      </c>
    </row>
    <row r="619" spans="1:25">
      <c r="A619">
        <v>13529</v>
      </c>
      <c r="B619" t="s">
        <v>25</v>
      </c>
      <c r="C619" t="str">
        <f t="shared" si="18"/>
        <v>INTEGRA Saloon</v>
      </c>
      <c r="D619" t="str">
        <f t="shared" si="20"/>
        <v>1.6</v>
      </c>
      <c r="E619" t="s">
        <v>26</v>
      </c>
      <c r="F619">
        <v>198501</v>
      </c>
      <c r="G619">
        <v>199012</v>
      </c>
      <c r="H619">
        <v>74</v>
      </c>
      <c r="I619">
        <v>100</v>
      </c>
      <c r="J619">
        <v>1590</v>
      </c>
      <c r="K619">
        <v>4205132</v>
      </c>
      <c r="L619" t="s">
        <v>31</v>
      </c>
      <c r="M619" t="str">
        <f>"156"</f>
        <v>156</v>
      </c>
      <c r="N619" t="str">
        <f>"156"</f>
        <v>156</v>
      </c>
      <c r="O619" t="str">
        <f>"54584"</f>
        <v>54584</v>
      </c>
      <c r="P619" t="s">
        <v>28</v>
      </c>
      <c r="Q619" t="str">
        <f>"5050694001239"</f>
        <v>5050694001239</v>
      </c>
      <c r="U619">
        <v>1</v>
      </c>
      <c r="V619" t="s">
        <v>28</v>
      </c>
      <c r="W619" t="s">
        <v>29</v>
      </c>
      <c r="X619" t="s">
        <v>30</v>
      </c>
    </row>
    <row r="620" spans="1:25">
      <c r="A620">
        <v>13529</v>
      </c>
      <c r="B620" t="s">
        <v>25</v>
      </c>
      <c r="C620" t="str">
        <f t="shared" si="18"/>
        <v>INTEGRA Saloon</v>
      </c>
      <c r="D620" t="str">
        <f t="shared" si="20"/>
        <v>1.6</v>
      </c>
      <c r="E620" t="s">
        <v>26</v>
      </c>
      <c r="F620">
        <v>198501</v>
      </c>
      <c r="G620">
        <v>199012</v>
      </c>
      <c r="H620">
        <v>74</v>
      </c>
      <c r="I620">
        <v>100</v>
      </c>
      <c r="J620">
        <v>1590</v>
      </c>
      <c r="K620">
        <v>4205269</v>
      </c>
      <c r="L620" t="s">
        <v>31</v>
      </c>
      <c r="M620" t="str">
        <f>"YBX3053"</f>
        <v>YBX3053</v>
      </c>
      <c r="N620" t="str">
        <f>"YBX3053"</f>
        <v>YBX3053</v>
      </c>
      <c r="O620" t="str">
        <f>""</f>
        <v/>
      </c>
      <c r="P620" t="s">
        <v>28</v>
      </c>
      <c r="Q620" t="str">
        <f>"5050694029578"</f>
        <v>5050694029578</v>
      </c>
      <c r="U620">
        <v>1</v>
      </c>
      <c r="V620" t="s">
        <v>28</v>
      </c>
      <c r="W620" t="s">
        <v>29</v>
      </c>
      <c r="X620" t="s">
        <v>30</v>
      </c>
    </row>
    <row r="621" spans="1:25">
      <c r="A621">
        <v>13529</v>
      </c>
      <c r="B621" t="s">
        <v>25</v>
      </c>
      <c r="C621" t="str">
        <f t="shared" si="18"/>
        <v>INTEGRA Saloon</v>
      </c>
      <c r="D621" t="str">
        <f t="shared" si="20"/>
        <v>1.6</v>
      </c>
      <c r="E621" t="s">
        <v>26</v>
      </c>
      <c r="F621">
        <v>198501</v>
      </c>
      <c r="G621">
        <v>199012</v>
      </c>
      <c r="H621">
        <v>74</v>
      </c>
      <c r="I621">
        <v>100</v>
      </c>
      <c r="J621">
        <v>1590</v>
      </c>
      <c r="K621">
        <v>4205297</v>
      </c>
      <c r="L621" t="s">
        <v>31</v>
      </c>
      <c r="M621" t="str">
        <f>"YBX5053"</f>
        <v>YBX5053</v>
      </c>
      <c r="N621" t="str">
        <f>"YBX5053"</f>
        <v>YBX5053</v>
      </c>
      <c r="O621" t="str">
        <f>""</f>
        <v/>
      </c>
      <c r="P621" t="s">
        <v>28</v>
      </c>
      <c r="Q621" t="str">
        <f>"5050694029400"</f>
        <v>5050694029400</v>
      </c>
      <c r="U621">
        <v>1</v>
      </c>
      <c r="V621" t="s">
        <v>28</v>
      </c>
      <c r="W621" t="s">
        <v>29</v>
      </c>
      <c r="X621" t="s">
        <v>30</v>
      </c>
    </row>
    <row r="622" spans="1:25">
      <c r="A622">
        <v>13529</v>
      </c>
      <c r="B622" t="s">
        <v>25</v>
      </c>
      <c r="C622" t="str">
        <f t="shared" si="18"/>
        <v>INTEGRA Saloon</v>
      </c>
      <c r="D622" t="str">
        <f t="shared" si="20"/>
        <v>1.6</v>
      </c>
      <c r="E622" t="s">
        <v>26</v>
      </c>
      <c r="F622">
        <v>198501</v>
      </c>
      <c r="G622">
        <v>199012</v>
      </c>
      <c r="H622">
        <v>74</v>
      </c>
      <c r="I622">
        <v>100</v>
      </c>
      <c r="J622">
        <v>1590</v>
      </c>
      <c r="K622">
        <v>4205345</v>
      </c>
      <c r="L622" t="s">
        <v>32</v>
      </c>
      <c r="M622" t="str">
        <f>"053"</f>
        <v>053</v>
      </c>
      <c r="N622" t="str">
        <f>"053"</f>
        <v>053</v>
      </c>
      <c r="O622" t="str">
        <f>"46B24L"</f>
        <v>46B24L</v>
      </c>
      <c r="P622" t="s">
        <v>28</v>
      </c>
      <c r="Q622" t="str">
        <f>""</f>
        <v/>
      </c>
      <c r="U622">
        <v>1</v>
      </c>
      <c r="V622" t="s">
        <v>28</v>
      </c>
      <c r="W622" t="s">
        <v>29</v>
      </c>
      <c r="X622" t="s">
        <v>30</v>
      </c>
    </row>
    <row r="623" spans="1:25">
      <c r="A623">
        <v>13529</v>
      </c>
      <c r="B623" t="s">
        <v>25</v>
      </c>
      <c r="C623" t="str">
        <f t="shared" si="18"/>
        <v>INTEGRA Saloon</v>
      </c>
      <c r="D623" t="str">
        <f t="shared" si="20"/>
        <v>1.6</v>
      </c>
      <c r="E623" t="s">
        <v>26</v>
      </c>
      <c r="F623">
        <v>198501</v>
      </c>
      <c r="G623">
        <v>199012</v>
      </c>
      <c r="H623">
        <v>74</v>
      </c>
      <c r="I623">
        <v>100</v>
      </c>
      <c r="J623">
        <v>1590</v>
      </c>
      <c r="K623">
        <v>4205369</v>
      </c>
      <c r="L623" t="s">
        <v>32</v>
      </c>
      <c r="M623" t="str">
        <f>"156"</f>
        <v>156</v>
      </c>
      <c r="N623" t="str">
        <f>"156"</f>
        <v>156</v>
      </c>
      <c r="O623" t="str">
        <f>"46B24L"</f>
        <v>46B24L</v>
      </c>
      <c r="P623" t="s">
        <v>28</v>
      </c>
      <c r="Q623" t="str">
        <f>""</f>
        <v/>
      </c>
      <c r="U623">
        <v>1</v>
      </c>
      <c r="V623" t="s">
        <v>28</v>
      </c>
      <c r="W623" t="s">
        <v>29</v>
      </c>
      <c r="X623" t="s">
        <v>30</v>
      </c>
    </row>
    <row r="624" spans="1:25">
      <c r="A624">
        <v>13529</v>
      </c>
      <c r="B624" t="s">
        <v>25</v>
      </c>
      <c r="C624" t="str">
        <f t="shared" si="18"/>
        <v>INTEGRA Saloon</v>
      </c>
      <c r="D624" t="str">
        <f t="shared" si="20"/>
        <v>1.6</v>
      </c>
      <c r="E624" t="s">
        <v>26</v>
      </c>
      <c r="F624">
        <v>198501</v>
      </c>
      <c r="G624">
        <v>199012</v>
      </c>
      <c r="H624">
        <v>74</v>
      </c>
      <c r="I624">
        <v>100</v>
      </c>
      <c r="J624">
        <v>1590</v>
      </c>
      <c r="K624">
        <v>4205429</v>
      </c>
      <c r="L624" t="s">
        <v>32</v>
      </c>
      <c r="M624" t="str">
        <f>"GLD053"</f>
        <v>GLD053</v>
      </c>
      <c r="N624" t="str">
        <f>"GLD053"</f>
        <v>GLD053</v>
      </c>
      <c r="O624" t="str">
        <f>""</f>
        <v/>
      </c>
      <c r="P624" t="s">
        <v>28</v>
      </c>
      <c r="Q624" t="str">
        <f>"5050694032622"</f>
        <v>5050694032622</v>
      </c>
      <c r="U624">
        <v>1</v>
      </c>
      <c r="V624" t="s">
        <v>28</v>
      </c>
      <c r="W624" t="s">
        <v>29</v>
      </c>
      <c r="X624" t="s">
        <v>30</v>
      </c>
    </row>
    <row r="625" spans="1:25">
      <c r="A625">
        <v>13529</v>
      </c>
      <c r="B625" t="s">
        <v>25</v>
      </c>
      <c r="C625" t="str">
        <f t="shared" si="18"/>
        <v>INTEGRA Saloon</v>
      </c>
      <c r="D625" t="str">
        <f t="shared" si="20"/>
        <v>1.6</v>
      </c>
      <c r="E625" t="s">
        <v>26</v>
      </c>
      <c r="F625">
        <v>198501</v>
      </c>
      <c r="G625">
        <v>199012</v>
      </c>
      <c r="H625">
        <v>74</v>
      </c>
      <c r="I625">
        <v>100</v>
      </c>
      <c r="J625">
        <v>1590</v>
      </c>
      <c r="K625">
        <v>4205527</v>
      </c>
      <c r="L625" t="s">
        <v>32</v>
      </c>
      <c r="M625" t="str">
        <f>"SLV053"</f>
        <v>SLV053</v>
      </c>
      <c r="N625" t="str">
        <f>"SLV053"</f>
        <v>SLV053</v>
      </c>
      <c r="O625" t="str">
        <f>""</f>
        <v/>
      </c>
      <c r="P625" t="s">
        <v>28</v>
      </c>
      <c r="Q625" t="str">
        <f>"5050694032820"</f>
        <v>5050694032820</v>
      </c>
      <c r="U625">
        <v>1</v>
      </c>
      <c r="V625" t="s">
        <v>28</v>
      </c>
      <c r="W625" t="s">
        <v>29</v>
      </c>
      <c r="X625" t="s">
        <v>30</v>
      </c>
    </row>
    <row r="626" spans="1:25">
      <c r="A626">
        <v>13529</v>
      </c>
      <c r="B626" t="s">
        <v>25</v>
      </c>
      <c r="C626" t="str">
        <f t="shared" si="18"/>
        <v>INTEGRA Saloon</v>
      </c>
      <c r="D626" t="str">
        <f t="shared" si="20"/>
        <v>1.6</v>
      </c>
      <c r="E626" t="s">
        <v>26</v>
      </c>
      <c r="F626">
        <v>198501</v>
      </c>
      <c r="G626">
        <v>199012</v>
      </c>
      <c r="H626">
        <v>74</v>
      </c>
      <c r="I626">
        <v>100</v>
      </c>
      <c r="J626">
        <v>1590</v>
      </c>
      <c r="K626">
        <v>3034000</v>
      </c>
      <c r="L626" t="s">
        <v>33</v>
      </c>
      <c r="M626" t="str">
        <f>"J5214010"</f>
        <v>J5214010</v>
      </c>
      <c r="N626" t="str">
        <f>"J5214010"</f>
        <v>J5214010</v>
      </c>
      <c r="O626" t="str">
        <f>""</f>
        <v/>
      </c>
      <c r="P626" t="s">
        <v>34</v>
      </c>
      <c r="Q626" t="str">
        <f>"8711768070199"</f>
        <v>8711768070199</v>
      </c>
      <c r="R626" t="s">
        <v>35</v>
      </c>
      <c r="T626" s="1" t="s">
        <v>36</v>
      </c>
      <c r="U626">
        <v>2</v>
      </c>
      <c r="V626" t="s">
        <v>34</v>
      </c>
      <c r="W626" t="s">
        <v>34</v>
      </c>
      <c r="X626" t="s">
        <v>30</v>
      </c>
    </row>
    <row r="627" spans="1:25">
      <c r="A627">
        <v>13529</v>
      </c>
      <c r="B627" t="s">
        <v>25</v>
      </c>
      <c r="C627" t="str">
        <f t="shared" si="18"/>
        <v>INTEGRA Saloon</v>
      </c>
      <c r="D627" t="str">
        <f t="shared" si="20"/>
        <v>1.6</v>
      </c>
      <c r="E627" t="s">
        <v>26</v>
      </c>
      <c r="F627">
        <v>198501</v>
      </c>
      <c r="G627">
        <v>199012</v>
      </c>
      <c r="H627">
        <v>74</v>
      </c>
      <c r="I627">
        <v>100</v>
      </c>
      <c r="J627">
        <v>1590</v>
      </c>
      <c r="K627">
        <v>3964070</v>
      </c>
      <c r="L627" t="s">
        <v>27</v>
      </c>
      <c r="M627" t="str">
        <f>"H14620"</f>
        <v>H14620</v>
      </c>
      <c r="N627" t="str">
        <f>"H146-20"</f>
        <v>H146-20</v>
      </c>
      <c r="O627" t="str">
        <f>""</f>
        <v/>
      </c>
      <c r="P627" t="s">
        <v>34</v>
      </c>
      <c r="Q627" t="str">
        <f>"8718993212066"</f>
        <v>8718993212066</v>
      </c>
      <c r="R627" t="s">
        <v>37</v>
      </c>
      <c r="T627" s="1" t="s">
        <v>38</v>
      </c>
      <c r="U627">
        <v>2</v>
      </c>
      <c r="V627" t="s">
        <v>34</v>
      </c>
      <c r="W627" t="s">
        <v>34</v>
      </c>
      <c r="X627" t="s">
        <v>30</v>
      </c>
    </row>
    <row r="628" spans="1:25">
      <c r="A628">
        <v>13529</v>
      </c>
      <c r="B628" t="s">
        <v>25</v>
      </c>
      <c r="C628" t="str">
        <f t="shared" si="18"/>
        <v>INTEGRA Saloon</v>
      </c>
      <c r="D628" t="str">
        <f t="shared" si="20"/>
        <v>1.6</v>
      </c>
      <c r="E628" t="s">
        <v>26</v>
      </c>
      <c r="F628">
        <v>198501</v>
      </c>
      <c r="G628">
        <v>199012</v>
      </c>
      <c r="H628">
        <v>74</v>
      </c>
      <c r="I628">
        <v>100</v>
      </c>
      <c r="J628">
        <v>1590</v>
      </c>
      <c r="K628">
        <v>867002</v>
      </c>
      <c r="L628" t="s">
        <v>1238</v>
      </c>
      <c r="M628" t="str">
        <f>"441848"</f>
        <v>441848</v>
      </c>
      <c r="N628" t="str">
        <f>"441848"</f>
        <v>441848</v>
      </c>
      <c r="O628" t="str">
        <f>""</f>
        <v/>
      </c>
      <c r="P628" t="s">
        <v>39</v>
      </c>
      <c r="Q628" t="str">
        <f>""</f>
        <v/>
      </c>
      <c r="R628" t="s">
        <v>1239</v>
      </c>
      <c r="T628" s="1" t="s">
        <v>1240</v>
      </c>
      <c r="U628">
        <v>4</v>
      </c>
      <c r="V628" t="s">
        <v>39</v>
      </c>
      <c r="W628" t="s">
        <v>39</v>
      </c>
      <c r="X628" t="s">
        <v>39</v>
      </c>
    </row>
    <row r="629" spans="1:25">
      <c r="A629">
        <v>13529</v>
      </c>
      <c r="B629" t="s">
        <v>25</v>
      </c>
      <c r="C629" t="str">
        <f t="shared" si="18"/>
        <v>INTEGRA Saloon</v>
      </c>
      <c r="D629" t="str">
        <f t="shared" si="20"/>
        <v>1.6</v>
      </c>
      <c r="E629" t="s">
        <v>26</v>
      </c>
      <c r="F629">
        <v>198501</v>
      </c>
      <c r="G629">
        <v>199012</v>
      </c>
      <c r="H629">
        <v>74</v>
      </c>
      <c r="I629">
        <v>100</v>
      </c>
      <c r="J629">
        <v>1590</v>
      </c>
      <c r="K629">
        <v>3033801</v>
      </c>
      <c r="L629" t="s">
        <v>33</v>
      </c>
      <c r="M629" t="str">
        <f>"J5114009"</f>
        <v>J5114009</v>
      </c>
      <c r="N629" t="str">
        <f>"J5114009"</f>
        <v>J5114009</v>
      </c>
      <c r="O629" t="str">
        <f>""</f>
        <v/>
      </c>
      <c r="P629" t="s">
        <v>39</v>
      </c>
      <c r="Q629" t="str">
        <f>"8711768068202"</f>
        <v>8711768068202</v>
      </c>
      <c r="R629" t="s">
        <v>40</v>
      </c>
      <c r="T629" s="1" t="s">
        <v>41</v>
      </c>
      <c r="U629">
        <v>4</v>
      </c>
      <c r="V629" t="s">
        <v>39</v>
      </c>
      <c r="W629" t="s">
        <v>39</v>
      </c>
      <c r="X629" t="s">
        <v>39</v>
      </c>
    </row>
    <row r="630" spans="1:25">
      <c r="A630">
        <v>13529</v>
      </c>
      <c r="B630" t="s">
        <v>25</v>
      </c>
      <c r="C630" t="str">
        <f t="shared" si="18"/>
        <v>INTEGRA Saloon</v>
      </c>
      <c r="D630" t="str">
        <f t="shared" si="20"/>
        <v>1.6</v>
      </c>
      <c r="E630" t="s">
        <v>26</v>
      </c>
      <c r="F630">
        <v>198501</v>
      </c>
      <c r="G630">
        <v>199012</v>
      </c>
      <c r="H630">
        <v>74</v>
      </c>
      <c r="I630">
        <v>100</v>
      </c>
      <c r="J630">
        <v>1590</v>
      </c>
      <c r="K630">
        <v>3033803</v>
      </c>
      <c r="L630" t="s">
        <v>33</v>
      </c>
      <c r="M630" t="str">
        <f>"J5114013"</f>
        <v>J5114013</v>
      </c>
      <c r="N630" t="str">
        <f>"J5114013"</f>
        <v>J5114013</v>
      </c>
      <c r="O630" t="str">
        <f>""</f>
        <v/>
      </c>
      <c r="P630" t="s">
        <v>39</v>
      </c>
      <c r="Q630" t="str">
        <f>"8711768068226"</f>
        <v>8711768068226</v>
      </c>
      <c r="R630" t="s">
        <v>42</v>
      </c>
      <c r="T630" s="1" t="s">
        <v>43</v>
      </c>
      <c r="U630">
        <v>4</v>
      </c>
      <c r="V630" t="s">
        <v>39</v>
      </c>
      <c r="W630" t="s">
        <v>39</v>
      </c>
      <c r="X630" t="s">
        <v>39</v>
      </c>
    </row>
    <row r="631" spans="1:25">
      <c r="A631">
        <v>13529</v>
      </c>
      <c r="B631" t="s">
        <v>25</v>
      </c>
      <c r="C631" t="str">
        <f t="shared" si="18"/>
        <v>INTEGRA Saloon</v>
      </c>
      <c r="D631" t="str">
        <f t="shared" si="20"/>
        <v>1.6</v>
      </c>
      <c r="E631" t="s">
        <v>26</v>
      </c>
      <c r="F631">
        <v>198501</v>
      </c>
      <c r="G631">
        <v>199012</v>
      </c>
      <c r="H631">
        <v>74</v>
      </c>
      <c r="I631">
        <v>100</v>
      </c>
      <c r="J631">
        <v>1590</v>
      </c>
      <c r="K631">
        <v>3964051</v>
      </c>
      <c r="L631" t="s">
        <v>27</v>
      </c>
      <c r="M631" t="str">
        <f>"H14520"</f>
        <v>H14520</v>
      </c>
      <c r="N631" t="str">
        <f>"H145-20"</f>
        <v>H145-20</v>
      </c>
      <c r="O631" t="str">
        <f>""</f>
        <v/>
      </c>
      <c r="P631" t="s">
        <v>39</v>
      </c>
      <c r="Q631" t="str">
        <f>""</f>
        <v/>
      </c>
      <c r="R631" t="s">
        <v>44</v>
      </c>
      <c r="T631" s="1" t="s">
        <v>45</v>
      </c>
      <c r="U631">
        <v>4</v>
      </c>
      <c r="V631" t="s">
        <v>39</v>
      </c>
      <c r="W631" t="s">
        <v>39</v>
      </c>
      <c r="X631" t="s">
        <v>39</v>
      </c>
    </row>
    <row r="632" spans="1:25">
      <c r="A632">
        <v>13529</v>
      </c>
      <c r="B632" t="s">
        <v>25</v>
      </c>
      <c r="C632" t="str">
        <f t="shared" si="18"/>
        <v>INTEGRA Saloon</v>
      </c>
      <c r="D632" t="str">
        <f t="shared" si="20"/>
        <v>1.6</v>
      </c>
      <c r="E632" t="s">
        <v>26</v>
      </c>
      <c r="F632">
        <v>198501</v>
      </c>
      <c r="G632">
        <v>199012</v>
      </c>
      <c r="H632">
        <v>74</v>
      </c>
      <c r="I632">
        <v>100</v>
      </c>
      <c r="J632">
        <v>1590</v>
      </c>
      <c r="K632">
        <v>700320</v>
      </c>
      <c r="L632" t="s">
        <v>46</v>
      </c>
      <c r="M632" t="str">
        <f>"AC1001K"</f>
        <v>AC1001K</v>
      </c>
      <c r="N632" t="str">
        <f>"AC1001K"</f>
        <v>AC1001K</v>
      </c>
      <c r="O632" t="str">
        <f>""</f>
        <v/>
      </c>
      <c r="P632" t="s">
        <v>47</v>
      </c>
      <c r="Q632" t="str">
        <f>""</f>
        <v/>
      </c>
      <c r="U632">
        <v>5</v>
      </c>
      <c r="V632" t="s">
        <v>47</v>
      </c>
      <c r="W632" t="s">
        <v>48</v>
      </c>
      <c r="X632" t="s">
        <v>49</v>
      </c>
      <c r="Y632" t="s">
        <v>50</v>
      </c>
    </row>
    <row r="633" spans="1:25">
      <c r="A633">
        <v>13529</v>
      </c>
      <c r="B633" t="s">
        <v>25</v>
      </c>
      <c r="C633" t="str">
        <f t="shared" si="18"/>
        <v>INTEGRA Saloon</v>
      </c>
      <c r="D633" t="str">
        <f t="shared" si="20"/>
        <v>1.6</v>
      </c>
      <c r="E633" t="s">
        <v>26</v>
      </c>
      <c r="F633">
        <v>198501</v>
      </c>
      <c r="G633">
        <v>199012</v>
      </c>
      <c r="H633">
        <v>74</v>
      </c>
      <c r="I633">
        <v>100</v>
      </c>
      <c r="J633">
        <v>1590</v>
      </c>
      <c r="K633">
        <v>700322</v>
      </c>
      <c r="L633" t="s">
        <v>46</v>
      </c>
      <c r="M633" t="str">
        <f>"AC1002K"</f>
        <v>AC1002K</v>
      </c>
      <c r="N633" t="str">
        <f>"AC1002K"</f>
        <v>AC1002K</v>
      </c>
      <c r="O633" t="str">
        <f>""</f>
        <v/>
      </c>
      <c r="P633" t="s">
        <v>47</v>
      </c>
      <c r="Q633" t="str">
        <f>""</f>
        <v/>
      </c>
      <c r="U633">
        <v>5</v>
      </c>
      <c r="V633" t="s">
        <v>47</v>
      </c>
      <c r="W633" t="s">
        <v>48</v>
      </c>
      <c r="X633" t="s">
        <v>49</v>
      </c>
      <c r="Y633" t="s">
        <v>50</v>
      </c>
    </row>
    <row r="634" spans="1:25">
      <c r="A634">
        <v>13529</v>
      </c>
      <c r="B634" t="s">
        <v>25</v>
      </c>
      <c r="C634" t="str">
        <f t="shared" si="18"/>
        <v>INTEGRA Saloon</v>
      </c>
      <c r="D634" t="str">
        <f t="shared" si="20"/>
        <v>1.6</v>
      </c>
      <c r="E634" t="s">
        <v>26</v>
      </c>
      <c r="F634">
        <v>198501</v>
      </c>
      <c r="G634">
        <v>199012</v>
      </c>
      <c r="H634">
        <v>74</v>
      </c>
      <c r="I634">
        <v>100</v>
      </c>
      <c r="J634">
        <v>1590</v>
      </c>
      <c r="K634">
        <v>751200</v>
      </c>
      <c r="L634" t="s">
        <v>51</v>
      </c>
      <c r="M634" t="str">
        <f>"GHO2800K"</f>
        <v>GHO2800K</v>
      </c>
      <c r="N634" t="str">
        <f>"GHO2800K"</f>
        <v>GHO2800K</v>
      </c>
      <c r="O634" t="str">
        <f>""</f>
        <v/>
      </c>
      <c r="P634" t="s">
        <v>47</v>
      </c>
      <c r="Q634" t="str">
        <f>""</f>
        <v/>
      </c>
      <c r="R634" t="s">
        <v>52</v>
      </c>
      <c r="T634" s="1" t="s">
        <v>53</v>
      </c>
      <c r="U634">
        <v>5</v>
      </c>
      <c r="V634" t="s">
        <v>47</v>
      </c>
      <c r="W634" t="s">
        <v>48</v>
      </c>
      <c r="X634" t="s">
        <v>49</v>
      </c>
      <c r="Y634" t="s">
        <v>50</v>
      </c>
    </row>
    <row r="635" spans="1:25">
      <c r="A635">
        <v>13529</v>
      </c>
      <c r="B635" t="s">
        <v>25</v>
      </c>
      <c r="C635" t="str">
        <f t="shared" si="18"/>
        <v>INTEGRA Saloon</v>
      </c>
      <c r="D635" t="str">
        <f t="shared" si="20"/>
        <v>1.6</v>
      </c>
      <c r="E635" t="s">
        <v>26</v>
      </c>
      <c r="F635">
        <v>198501</v>
      </c>
      <c r="G635">
        <v>199012</v>
      </c>
      <c r="H635">
        <v>74</v>
      </c>
      <c r="I635">
        <v>100</v>
      </c>
      <c r="J635">
        <v>1590</v>
      </c>
      <c r="K635">
        <v>3470584</v>
      </c>
      <c r="L635" t="s">
        <v>54</v>
      </c>
      <c r="M635" t="str">
        <f>"J3581"</f>
        <v>J3581</v>
      </c>
      <c r="N635" t="str">
        <f>"J3581"</f>
        <v>J3581</v>
      </c>
      <c r="O635" t="str">
        <f>""</f>
        <v/>
      </c>
      <c r="P635" t="s">
        <v>47</v>
      </c>
      <c r="Q635" t="str">
        <f>"3599771182444"</f>
        <v>3599771182444</v>
      </c>
      <c r="R635" t="s">
        <v>55</v>
      </c>
      <c r="S635" t="s">
        <v>1241</v>
      </c>
      <c r="T635" s="1" t="s">
        <v>1242</v>
      </c>
      <c r="U635">
        <v>5</v>
      </c>
      <c r="V635" t="s">
        <v>47</v>
      </c>
      <c r="W635" t="s">
        <v>48</v>
      </c>
      <c r="X635" t="s">
        <v>49</v>
      </c>
      <c r="Y635" t="s">
        <v>50</v>
      </c>
    </row>
    <row r="636" spans="1:25">
      <c r="A636">
        <v>13529</v>
      </c>
      <c r="B636" t="s">
        <v>25</v>
      </c>
      <c r="C636" t="str">
        <f t="shared" si="18"/>
        <v>INTEGRA Saloon</v>
      </c>
      <c r="D636" t="str">
        <f t="shared" si="20"/>
        <v>1.6</v>
      </c>
      <c r="E636" t="s">
        <v>26</v>
      </c>
      <c r="F636">
        <v>198501</v>
      </c>
      <c r="G636">
        <v>199012</v>
      </c>
      <c r="H636">
        <v>74</v>
      </c>
      <c r="I636">
        <v>100</v>
      </c>
      <c r="J636">
        <v>1590</v>
      </c>
      <c r="K636">
        <v>3471074</v>
      </c>
      <c r="L636" t="s">
        <v>54</v>
      </c>
      <c r="M636" t="str">
        <f>"J8050"</f>
        <v>J8050</v>
      </c>
      <c r="N636" t="str">
        <f>"J8050"</f>
        <v>J8050</v>
      </c>
      <c r="O636" t="str">
        <f>""</f>
        <v/>
      </c>
      <c r="P636" t="s">
        <v>47</v>
      </c>
      <c r="Q636" t="str">
        <f>"3599771602737"</f>
        <v>3599771602737</v>
      </c>
      <c r="S636" t="s">
        <v>1243</v>
      </c>
      <c r="U636">
        <v>5</v>
      </c>
      <c r="V636" t="s">
        <v>47</v>
      </c>
      <c r="W636" t="s">
        <v>48</v>
      </c>
      <c r="X636" t="s">
        <v>49</v>
      </c>
      <c r="Y636" t="s">
        <v>50</v>
      </c>
    </row>
    <row r="637" spans="1:25">
      <c r="A637">
        <v>13529</v>
      </c>
      <c r="B637" t="s">
        <v>25</v>
      </c>
      <c r="C637" t="str">
        <f t="shared" si="18"/>
        <v>INTEGRA Saloon</v>
      </c>
      <c r="D637" t="str">
        <f t="shared" si="20"/>
        <v>1.6</v>
      </c>
      <c r="E637" t="s">
        <v>26</v>
      </c>
      <c r="F637">
        <v>198501</v>
      </c>
      <c r="G637">
        <v>199012</v>
      </c>
      <c r="H637">
        <v>74</v>
      </c>
      <c r="I637">
        <v>100</v>
      </c>
      <c r="J637">
        <v>1590</v>
      </c>
      <c r="K637">
        <v>4528780</v>
      </c>
      <c r="L637" t="s">
        <v>59</v>
      </c>
      <c r="M637" t="str">
        <f>"12040810"</f>
        <v>12040810</v>
      </c>
      <c r="N637" t="str">
        <f>"12-040810"</f>
        <v>12-040810</v>
      </c>
      <c r="O637" t="str">
        <f>""</f>
        <v/>
      </c>
      <c r="P637" t="s">
        <v>47</v>
      </c>
      <c r="Q637" t="str">
        <f>""</f>
        <v/>
      </c>
      <c r="R637" t="s">
        <v>60</v>
      </c>
      <c r="S637" t="s">
        <v>61</v>
      </c>
      <c r="T637" s="1" t="s">
        <v>1244</v>
      </c>
      <c r="U637">
        <v>5</v>
      </c>
      <c r="V637" t="s">
        <v>47</v>
      </c>
      <c r="W637" t="s">
        <v>48</v>
      </c>
      <c r="X637" t="s">
        <v>49</v>
      </c>
      <c r="Y637" t="s">
        <v>50</v>
      </c>
    </row>
    <row r="638" spans="1:25">
      <c r="A638">
        <v>13529</v>
      </c>
      <c r="B638" t="s">
        <v>25</v>
      </c>
      <c r="C638" t="str">
        <f t="shared" si="18"/>
        <v>INTEGRA Saloon</v>
      </c>
      <c r="D638" t="str">
        <f t="shared" si="20"/>
        <v>1.6</v>
      </c>
      <c r="E638" t="s">
        <v>26</v>
      </c>
      <c r="F638">
        <v>198501</v>
      </c>
      <c r="G638">
        <v>199012</v>
      </c>
      <c r="H638">
        <v>74</v>
      </c>
      <c r="I638">
        <v>100</v>
      </c>
      <c r="J638">
        <v>1590</v>
      </c>
      <c r="K638">
        <v>4528792</v>
      </c>
      <c r="L638" t="s">
        <v>59</v>
      </c>
      <c r="M638" t="str">
        <f>"12040850"</f>
        <v>12040850</v>
      </c>
      <c r="N638" t="str">
        <f>"12-040850"</f>
        <v>12-040850</v>
      </c>
      <c r="O638" t="str">
        <f>""</f>
        <v/>
      </c>
      <c r="P638" t="s">
        <v>47</v>
      </c>
      <c r="Q638" t="str">
        <f>""</f>
        <v/>
      </c>
      <c r="R638" t="s">
        <v>63</v>
      </c>
      <c r="S638" t="s">
        <v>64</v>
      </c>
      <c r="T638" s="1" t="s">
        <v>65</v>
      </c>
      <c r="U638">
        <v>5</v>
      </c>
      <c r="V638" t="s">
        <v>47</v>
      </c>
      <c r="W638" t="s">
        <v>48</v>
      </c>
      <c r="X638" t="s">
        <v>49</v>
      </c>
      <c r="Y638" t="s">
        <v>50</v>
      </c>
    </row>
    <row r="639" spans="1:25">
      <c r="A639">
        <v>13529</v>
      </c>
      <c r="B639" t="s">
        <v>25</v>
      </c>
      <c r="C639" t="str">
        <f t="shared" si="18"/>
        <v>INTEGRA Saloon</v>
      </c>
      <c r="D639" t="str">
        <f t="shared" si="20"/>
        <v>1.6</v>
      </c>
      <c r="E639" t="s">
        <v>26</v>
      </c>
      <c r="F639">
        <v>198501</v>
      </c>
      <c r="G639">
        <v>199012</v>
      </c>
      <c r="H639">
        <v>74</v>
      </c>
      <c r="I639">
        <v>100</v>
      </c>
      <c r="J639">
        <v>1590</v>
      </c>
      <c r="K639">
        <v>4529629</v>
      </c>
      <c r="L639" t="s">
        <v>59</v>
      </c>
      <c r="M639" t="str">
        <f>"14046803"</f>
        <v>14046803</v>
      </c>
      <c r="N639" t="str">
        <f>"14-046803"</f>
        <v>14-046803</v>
      </c>
      <c r="O639" t="str">
        <f>""</f>
        <v/>
      </c>
      <c r="P639" t="s">
        <v>47</v>
      </c>
      <c r="Q639" t="str">
        <f>""</f>
        <v/>
      </c>
      <c r="R639" t="s">
        <v>1245</v>
      </c>
      <c r="S639" t="s">
        <v>1246</v>
      </c>
      <c r="T639" t="s">
        <v>1247</v>
      </c>
      <c r="U639">
        <v>5</v>
      </c>
      <c r="V639" t="s">
        <v>47</v>
      </c>
      <c r="W639" t="s">
        <v>48</v>
      </c>
      <c r="X639" t="s">
        <v>49</v>
      </c>
      <c r="Y639" t="s">
        <v>50</v>
      </c>
    </row>
    <row r="640" spans="1:25">
      <c r="A640">
        <v>13529</v>
      </c>
      <c r="B640" t="s">
        <v>25</v>
      </c>
      <c r="C640" t="str">
        <f t="shared" si="18"/>
        <v>INTEGRA Saloon</v>
      </c>
      <c r="D640" t="str">
        <f t="shared" si="20"/>
        <v>1.6</v>
      </c>
      <c r="E640" t="s">
        <v>26</v>
      </c>
      <c r="F640">
        <v>198501</v>
      </c>
      <c r="G640">
        <v>199012</v>
      </c>
      <c r="H640">
        <v>74</v>
      </c>
      <c r="I640">
        <v>100</v>
      </c>
      <c r="J640">
        <v>1590</v>
      </c>
      <c r="K640">
        <v>2439420</v>
      </c>
      <c r="L640" t="s">
        <v>1248</v>
      </c>
      <c r="M640" t="str">
        <f>"2318200"</f>
        <v>2318200</v>
      </c>
      <c r="N640" t="str">
        <f>"23.182.00"</f>
        <v>23.182.00</v>
      </c>
      <c r="O640" t="str">
        <f>""</f>
        <v/>
      </c>
      <c r="P640" t="s">
        <v>67</v>
      </c>
      <c r="Q640" t="str">
        <f>"8003453041035"</f>
        <v>8003453041035</v>
      </c>
      <c r="R640" t="s">
        <v>1249</v>
      </c>
      <c r="S640" t="s">
        <v>1250</v>
      </c>
      <c r="T640" s="1" t="s">
        <v>1251</v>
      </c>
      <c r="U640">
        <v>7</v>
      </c>
      <c r="V640" t="s">
        <v>67</v>
      </c>
      <c r="W640" t="s">
        <v>70</v>
      </c>
      <c r="X640" t="s">
        <v>71</v>
      </c>
      <c r="Y640" t="s">
        <v>72</v>
      </c>
    </row>
    <row r="641" spans="1:25">
      <c r="A641">
        <v>13529</v>
      </c>
      <c r="B641" t="s">
        <v>25</v>
      </c>
      <c r="C641" t="str">
        <f t="shared" si="18"/>
        <v>INTEGRA Saloon</v>
      </c>
      <c r="D641" t="str">
        <f t="shared" si="20"/>
        <v>1.6</v>
      </c>
      <c r="E641" t="s">
        <v>26</v>
      </c>
      <c r="F641">
        <v>198501</v>
      </c>
      <c r="G641">
        <v>199012</v>
      </c>
      <c r="H641">
        <v>74</v>
      </c>
      <c r="I641">
        <v>100</v>
      </c>
      <c r="J641">
        <v>1590</v>
      </c>
      <c r="K641">
        <v>2439459</v>
      </c>
      <c r="L641" t="s">
        <v>1248</v>
      </c>
      <c r="M641" t="str">
        <f>"2324300"</f>
        <v>2324300</v>
      </c>
      <c r="N641" t="str">
        <f>"23.243.00"</f>
        <v>23.243.00</v>
      </c>
      <c r="O641" t="str">
        <f>""</f>
        <v/>
      </c>
      <c r="P641" t="s">
        <v>67</v>
      </c>
      <c r="Q641" t="str">
        <f>"8003453041769"</f>
        <v>8003453041769</v>
      </c>
      <c r="R641" t="s">
        <v>1252</v>
      </c>
      <c r="S641" t="s">
        <v>1253</v>
      </c>
      <c r="T641" s="1" t="s">
        <v>1254</v>
      </c>
      <c r="U641">
        <v>7</v>
      </c>
      <c r="V641" t="s">
        <v>67</v>
      </c>
      <c r="W641" t="s">
        <v>70</v>
      </c>
      <c r="X641" t="s">
        <v>71</v>
      </c>
      <c r="Y641" t="s">
        <v>72</v>
      </c>
    </row>
    <row r="642" spans="1:25">
      <c r="A642">
        <v>13529</v>
      </c>
      <c r="B642" t="s">
        <v>25</v>
      </c>
      <c r="C642" t="str">
        <f t="shared" ref="C642:C705" si="21">"INTEGRA Saloon"</f>
        <v>INTEGRA Saloon</v>
      </c>
      <c r="D642" t="str">
        <f t="shared" si="20"/>
        <v>1.6</v>
      </c>
      <c r="E642" t="s">
        <v>26</v>
      </c>
      <c r="F642">
        <v>198501</v>
      </c>
      <c r="G642">
        <v>199012</v>
      </c>
      <c r="H642">
        <v>74</v>
      </c>
      <c r="I642">
        <v>100</v>
      </c>
      <c r="J642">
        <v>1590</v>
      </c>
      <c r="K642">
        <v>2495278</v>
      </c>
      <c r="L642" t="s">
        <v>1255</v>
      </c>
      <c r="M642" t="str">
        <f>"S3243R"</f>
        <v>S3243R</v>
      </c>
      <c r="N642" t="str">
        <f>"S 3243 R"</f>
        <v>S 3243 R</v>
      </c>
      <c r="O642" t="str">
        <f>""</f>
        <v/>
      </c>
      <c r="P642" t="s">
        <v>67</v>
      </c>
      <c r="Q642" t="str">
        <f>"8013097041223"</f>
        <v>8013097041223</v>
      </c>
      <c r="R642" t="s">
        <v>1252</v>
      </c>
      <c r="S642" t="s">
        <v>1253</v>
      </c>
      <c r="T642" s="1" t="s">
        <v>1256</v>
      </c>
      <c r="U642">
        <v>7</v>
      </c>
      <c r="V642" t="s">
        <v>67</v>
      </c>
      <c r="W642" t="s">
        <v>70</v>
      </c>
      <c r="X642" t="s">
        <v>71</v>
      </c>
      <c r="Y642" t="s">
        <v>72</v>
      </c>
    </row>
    <row r="643" spans="1:25">
      <c r="A643">
        <v>13529</v>
      </c>
      <c r="B643" t="s">
        <v>25</v>
      </c>
      <c r="C643" t="str">
        <f t="shared" si="21"/>
        <v>INTEGRA Saloon</v>
      </c>
      <c r="D643" t="str">
        <f t="shared" si="20"/>
        <v>1.6</v>
      </c>
      <c r="E643" t="s">
        <v>26</v>
      </c>
      <c r="F643">
        <v>198501</v>
      </c>
      <c r="G643">
        <v>199012</v>
      </c>
      <c r="H643">
        <v>74</v>
      </c>
      <c r="I643">
        <v>100</v>
      </c>
      <c r="J643">
        <v>1590</v>
      </c>
      <c r="K643">
        <v>2496750</v>
      </c>
      <c r="L643" t="s">
        <v>1255</v>
      </c>
      <c r="M643" t="str">
        <f>"S8240R"</f>
        <v>S8240R</v>
      </c>
      <c r="N643" t="str">
        <f>"S 8240 R"</f>
        <v>S 8240 R</v>
      </c>
      <c r="O643" t="str">
        <f>""</f>
        <v/>
      </c>
      <c r="P643" t="s">
        <v>67</v>
      </c>
      <c r="Q643" t="str">
        <f>"8013097040806"</f>
        <v>8013097040806</v>
      </c>
      <c r="R643" t="s">
        <v>1249</v>
      </c>
      <c r="S643" t="s">
        <v>1250</v>
      </c>
      <c r="T643" s="1" t="s">
        <v>1257</v>
      </c>
      <c r="U643">
        <v>7</v>
      </c>
      <c r="V643" t="s">
        <v>67</v>
      </c>
      <c r="W643" t="s">
        <v>70</v>
      </c>
      <c r="X643" t="s">
        <v>71</v>
      </c>
      <c r="Y643" t="s">
        <v>72</v>
      </c>
    </row>
    <row r="644" spans="1:25">
      <c r="A644">
        <v>13529</v>
      </c>
      <c r="B644" t="s">
        <v>25</v>
      </c>
      <c r="C644" t="str">
        <f t="shared" si="21"/>
        <v>INTEGRA Saloon</v>
      </c>
      <c r="D644" t="str">
        <f t="shared" si="20"/>
        <v>1.6</v>
      </c>
      <c r="E644" t="s">
        <v>26</v>
      </c>
      <c r="F644">
        <v>198501</v>
      </c>
      <c r="G644">
        <v>199012</v>
      </c>
      <c r="H644">
        <v>74</v>
      </c>
      <c r="I644">
        <v>100</v>
      </c>
      <c r="J644">
        <v>1590</v>
      </c>
      <c r="K644">
        <v>3026395</v>
      </c>
      <c r="L644" t="s">
        <v>33</v>
      </c>
      <c r="M644" t="str">
        <f>"J1314010"</f>
        <v>J1314010</v>
      </c>
      <c r="N644" t="str">
        <f>"J1314010"</f>
        <v>J1314010</v>
      </c>
      <c r="O644" t="str">
        <f>""</f>
        <v/>
      </c>
      <c r="P644" t="s">
        <v>67</v>
      </c>
      <c r="Q644" t="str">
        <f>"8711768032197"</f>
        <v>8711768032197</v>
      </c>
      <c r="R644" t="s">
        <v>114</v>
      </c>
      <c r="T644" s="1" t="s">
        <v>1258</v>
      </c>
      <c r="U644">
        <v>7</v>
      </c>
      <c r="V644" t="s">
        <v>67</v>
      </c>
      <c r="W644" t="s">
        <v>70</v>
      </c>
      <c r="X644" t="s">
        <v>71</v>
      </c>
      <c r="Y644" t="s">
        <v>72</v>
      </c>
    </row>
    <row r="645" spans="1:25">
      <c r="A645">
        <v>13529</v>
      </c>
      <c r="B645" t="s">
        <v>25</v>
      </c>
      <c r="C645" t="str">
        <f t="shared" si="21"/>
        <v>INTEGRA Saloon</v>
      </c>
      <c r="D645" t="str">
        <f t="shared" si="20"/>
        <v>1.6</v>
      </c>
      <c r="E645" t="s">
        <v>26</v>
      </c>
      <c r="F645">
        <v>198501</v>
      </c>
      <c r="G645">
        <v>199012</v>
      </c>
      <c r="H645">
        <v>74</v>
      </c>
      <c r="I645">
        <v>100</v>
      </c>
      <c r="J645">
        <v>1590</v>
      </c>
      <c r="K645">
        <v>3653257</v>
      </c>
      <c r="L645" t="s">
        <v>119</v>
      </c>
      <c r="M645" t="str">
        <f>"XO42"</f>
        <v>XO42</v>
      </c>
      <c r="N645" t="str">
        <f>"XO42"</f>
        <v>XO42</v>
      </c>
      <c r="O645" t="str">
        <f>""</f>
        <v/>
      </c>
      <c r="P645" t="s">
        <v>67</v>
      </c>
      <c r="Q645" t="str">
        <f>""</f>
        <v/>
      </c>
      <c r="R645" t="s">
        <v>122</v>
      </c>
      <c r="T645" s="1" t="s">
        <v>1259</v>
      </c>
      <c r="U645">
        <v>7</v>
      </c>
      <c r="V645" t="s">
        <v>67</v>
      </c>
      <c r="W645" t="s">
        <v>70</v>
      </c>
      <c r="X645" t="s">
        <v>71</v>
      </c>
      <c r="Y645" t="s">
        <v>72</v>
      </c>
    </row>
    <row r="646" spans="1:25">
      <c r="A646">
        <v>13529</v>
      </c>
      <c r="B646" t="s">
        <v>25</v>
      </c>
      <c r="C646" t="str">
        <f t="shared" si="21"/>
        <v>INTEGRA Saloon</v>
      </c>
      <c r="D646" t="str">
        <f t="shared" si="20"/>
        <v>1.6</v>
      </c>
      <c r="E646" t="s">
        <v>26</v>
      </c>
      <c r="F646">
        <v>198501</v>
      </c>
      <c r="G646">
        <v>199012</v>
      </c>
      <c r="H646">
        <v>74</v>
      </c>
      <c r="I646">
        <v>100</v>
      </c>
      <c r="J646">
        <v>1590</v>
      </c>
      <c r="K646">
        <v>1539724</v>
      </c>
      <c r="L646" t="s">
        <v>73</v>
      </c>
      <c r="M646" t="str">
        <f>"LX897"</f>
        <v>LX897</v>
      </c>
      <c r="N646" t="str">
        <f>"LX 897"</f>
        <v>LX 897</v>
      </c>
      <c r="O646" t="str">
        <f>"78444184"</f>
        <v>78444184</v>
      </c>
      <c r="P646" t="s">
        <v>132</v>
      </c>
      <c r="Q646" t="str">
        <f>"4009026103852"</f>
        <v>4009026103852</v>
      </c>
      <c r="R646" t="s">
        <v>137</v>
      </c>
      <c r="T646" s="1" t="s">
        <v>155</v>
      </c>
      <c r="U646">
        <v>8</v>
      </c>
      <c r="V646" t="s">
        <v>132</v>
      </c>
      <c r="W646" t="s">
        <v>70</v>
      </c>
      <c r="X646" t="s">
        <v>135</v>
      </c>
      <c r="Y646" t="s">
        <v>136</v>
      </c>
    </row>
    <row r="647" spans="1:25">
      <c r="A647">
        <v>13529</v>
      </c>
      <c r="B647" t="s">
        <v>25</v>
      </c>
      <c r="C647" t="str">
        <f t="shared" si="21"/>
        <v>INTEGRA Saloon</v>
      </c>
      <c r="D647" t="str">
        <f t="shared" si="20"/>
        <v>1.6</v>
      </c>
      <c r="E647" t="s">
        <v>26</v>
      </c>
      <c r="F647">
        <v>198501</v>
      </c>
      <c r="G647">
        <v>199012</v>
      </c>
      <c r="H647">
        <v>74</v>
      </c>
      <c r="I647">
        <v>100</v>
      </c>
      <c r="J647">
        <v>1590</v>
      </c>
      <c r="K647">
        <v>2088030</v>
      </c>
      <c r="L647" t="s">
        <v>95</v>
      </c>
      <c r="M647" t="str">
        <f>"154084441920"</f>
        <v>154084441920</v>
      </c>
      <c r="N647" t="str">
        <f>"154084441920"</f>
        <v>154084441920</v>
      </c>
      <c r="O647" t="str">
        <f>"LX897"</f>
        <v>LX897</v>
      </c>
      <c r="P647" t="s">
        <v>132</v>
      </c>
      <c r="Q647" t="str">
        <f>"4009026103852"</f>
        <v>4009026103852</v>
      </c>
      <c r="R647" t="s">
        <v>142</v>
      </c>
      <c r="S647" t="s">
        <v>1260</v>
      </c>
      <c r="T647" s="1" t="s">
        <v>143</v>
      </c>
      <c r="U647">
        <v>8</v>
      </c>
      <c r="V647" t="s">
        <v>132</v>
      </c>
      <c r="W647" t="s">
        <v>70</v>
      </c>
      <c r="X647" t="s">
        <v>135</v>
      </c>
      <c r="Y647" t="s">
        <v>136</v>
      </c>
    </row>
    <row r="648" spans="1:25">
      <c r="A648">
        <v>13529</v>
      </c>
      <c r="B648" t="s">
        <v>25</v>
      </c>
      <c r="C648" t="str">
        <f t="shared" si="21"/>
        <v>INTEGRA Saloon</v>
      </c>
      <c r="D648" t="str">
        <f t="shared" si="20"/>
        <v>1.6</v>
      </c>
      <c r="E648" t="s">
        <v>26</v>
      </c>
      <c r="F648">
        <v>198501</v>
      </c>
      <c r="G648">
        <v>199012</v>
      </c>
      <c r="H648">
        <v>74</v>
      </c>
      <c r="I648">
        <v>100</v>
      </c>
      <c r="J648">
        <v>1590</v>
      </c>
      <c r="K648">
        <v>2441119</v>
      </c>
      <c r="L648" t="s">
        <v>1248</v>
      </c>
      <c r="M648" t="str">
        <f>"3024000"</f>
        <v>3024000</v>
      </c>
      <c r="N648" t="str">
        <f>"30.240.00"</f>
        <v>30.240.00</v>
      </c>
      <c r="O648" t="str">
        <f>""</f>
        <v/>
      </c>
      <c r="P648" t="s">
        <v>132</v>
      </c>
      <c r="Q648" t="str">
        <f>"8003453136830"</f>
        <v>8003453136830</v>
      </c>
      <c r="R648" t="s">
        <v>1261</v>
      </c>
      <c r="T648" s="1" t="s">
        <v>1262</v>
      </c>
      <c r="U648">
        <v>8</v>
      </c>
      <c r="V648" t="s">
        <v>132</v>
      </c>
      <c r="W648" t="s">
        <v>70</v>
      </c>
      <c r="X648" t="s">
        <v>135</v>
      </c>
      <c r="Y648" t="s">
        <v>136</v>
      </c>
    </row>
    <row r="649" spans="1:25">
      <c r="A649">
        <v>13529</v>
      </c>
      <c r="B649" t="s">
        <v>25</v>
      </c>
      <c r="C649" t="str">
        <f t="shared" si="21"/>
        <v>INTEGRA Saloon</v>
      </c>
      <c r="D649" t="str">
        <f t="shared" si="20"/>
        <v>1.6</v>
      </c>
      <c r="E649" t="s">
        <v>26</v>
      </c>
      <c r="F649">
        <v>198501</v>
      </c>
      <c r="G649">
        <v>199012</v>
      </c>
      <c r="H649">
        <v>74</v>
      </c>
      <c r="I649">
        <v>100</v>
      </c>
      <c r="J649">
        <v>1590</v>
      </c>
      <c r="K649">
        <v>2494880</v>
      </c>
      <c r="L649" t="s">
        <v>1255</v>
      </c>
      <c r="M649" t="str">
        <f>"S2340A"</f>
        <v>S2340A</v>
      </c>
      <c r="N649" t="str">
        <f>"S 2340 A"</f>
        <v>S 2340 A</v>
      </c>
      <c r="O649" t="str">
        <f>""</f>
        <v/>
      </c>
      <c r="P649" t="s">
        <v>132</v>
      </c>
      <c r="Q649" t="str">
        <f>"8013097135991"</f>
        <v>8013097135991</v>
      </c>
      <c r="R649" t="s">
        <v>1261</v>
      </c>
      <c r="T649" s="1" t="s">
        <v>1263</v>
      </c>
      <c r="U649">
        <v>8</v>
      </c>
      <c r="V649" t="s">
        <v>132</v>
      </c>
      <c r="W649" t="s">
        <v>70</v>
      </c>
      <c r="X649" t="s">
        <v>135</v>
      </c>
      <c r="Y649" t="s">
        <v>136</v>
      </c>
    </row>
    <row r="650" spans="1:25">
      <c r="A650">
        <v>13529</v>
      </c>
      <c r="B650" t="s">
        <v>25</v>
      </c>
      <c r="C650" t="str">
        <f t="shared" si="21"/>
        <v>INTEGRA Saloon</v>
      </c>
      <c r="D650" t="str">
        <f t="shared" si="20"/>
        <v>1.6</v>
      </c>
      <c r="E650" t="s">
        <v>26</v>
      </c>
      <c r="F650">
        <v>198501</v>
      </c>
      <c r="G650">
        <v>199012</v>
      </c>
      <c r="H650">
        <v>74</v>
      </c>
      <c r="I650">
        <v>100</v>
      </c>
      <c r="J650">
        <v>1590</v>
      </c>
      <c r="K650">
        <v>2717457</v>
      </c>
      <c r="L650" t="s">
        <v>149</v>
      </c>
      <c r="M650" t="str">
        <f>"A141326"</f>
        <v>A141326</v>
      </c>
      <c r="N650" t="str">
        <f>"A141326"</f>
        <v>A141326</v>
      </c>
      <c r="O650" t="str">
        <f>""</f>
        <v/>
      </c>
      <c r="P650" t="s">
        <v>132</v>
      </c>
      <c r="Q650" t="str">
        <f>"5901225744586"</f>
        <v>5901225744586</v>
      </c>
      <c r="T650" t="s">
        <v>1264</v>
      </c>
      <c r="U650">
        <v>8</v>
      </c>
      <c r="V650" t="s">
        <v>132</v>
      </c>
      <c r="W650" t="s">
        <v>70</v>
      </c>
      <c r="X650" t="s">
        <v>135</v>
      </c>
      <c r="Y650" t="s">
        <v>136</v>
      </c>
    </row>
    <row r="651" spans="1:25">
      <c r="A651">
        <v>13529</v>
      </c>
      <c r="B651" t="s">
        <v>25</v>
      </c>
      <c r="C651" t="str">
        <f t="shared" si="21"/>
        <v>INTEGRA Saloon</v>
      </c>
      <c r="D651" t="str">
        <f t="shared" si="20"/>
        <v>1.6</v>
      </c>
      <c r="E651" t="s">
        <v>26</v>
      </c>
      <c r="F651">
        <v>198501</v>
      </c>
      <c r="G651">
        <v>199012</v>
      </c>
      <c r="H651">
        <v>74</v>
      </c>
      <c r="I651">
        <v>100</v>
      </c>
      <c r="J651">
        <v>1590</v>
      </c>
      <c r="K651">
        <v>2999896</v>
      </c>
      <c r="L651" t="s">
        <v>151</v>
      </c>
      <c r="M651" t="str">
        <f>"18041"</f>
        <v>18041</v>
      </c>
      <c r="N651" t="str">
        <f>"18041"</f>
        <v>18041</v>
      </c>
      <c r="O651" t="str">
        <f>""</f>
        <v/>
      </c>
      <c r="P651" t="s">
        <v>132</v>
      </c>
      <c r="Q651" t="str">
        <f>""</f>
        <v/>
      </c>
      <c r="T651" s="1" t="s">
        <v>152</v>
      </c>
      <c r="U651">
        <v>8</v>
      </c>
      <c r="V651" t="s">
        <v>132</v>
      </c>
      <c r="W651" t="s">
        <v>70</v>
      </c>
      <c r="X651" t="s">
        <v>135</v>
      </c>
      <c r="Y651" t="s">
        <v>136</v>
      </c>
    </row>
    <row r="652" spans="1:25">
      <c r="A652">
        <v>13529</v>
      </c>
      <c r="B652" t="s">
        <v>25</v>
      </c>
      <c r="C652" t="str">
        <f t="shared" si="21"/>
        <v>INTEGRA Saloon</v>
      </c>
      <c r="D652" t="str">
        <f t="shared" si="20"/>
        <v>1.6</v>
      </c>
      <c r="E652" t="s">
        <v>26</v>
      </c>
      <c r="F652">
        <v>198501</v>
      </c>
      <c r="G652">
        <v>199012</v>
      </c>
      <c r="H652">
        <v>74</v>
      </c>
      <c r="I652">
        <v>100</v>
      </c>
      <c r="J652">
        <v>1590</v>
      </c>
      <c r="K652">
        <v>3026664</v>
      </c>
      <c r="L652" t="s">
        <v>33</v>
      </c>
      <c r="M652" t="str">
        <f>"J1324006"</f>
        <v>J1324006</v>
      </c>
      <c r="N652" t="str">
        <f>"J1324006"</f>
        <v>J1324006</v>
      </c>
      <c r="O652" t="str">
        <f>""</f>
        <v/>
      </c>
      <c r="P652" t="s">
        <v>132</v>
      </c>
      <c r="Q652" t="str">
        <f>"8711768033873"</f>
        <v>8711768033873</v>
      </c>
      <c r="R652" t="s">
        <v>153</v>
      </c>
      <c r="T652" s="1" t="s">
        <v>154</v>
      </c>
      <c r="U652">
        <v>8</v>
      </c>
      <c r="V652" t="s">
        <v>132</v>
      </c>
      <c r="W652" t="s">
        <v>70</v>
      </c>
      <c r="X652" t="s">
        <v>135</v>
      </c>
      <c r="Y652" t="s">
        <v>136</v>
      </c>
    </row>
    <row r="653" spans="1:25">
      <c r="A653">
        <v>13529</v>
      </c>
      <c r="B653" t="s">
        <v>25</v>
      </c>
      <c r="C653" t="str">
        <f t="shared" si="21"/>
        <v>INTEGRA Saloon</v>
      </c>
      <c r="D653" t="str">
        <f t="shared" si="20"/>
        <v>1.6</v>
      </c>
      <c r="E653" t="s">
        <v>26</v>
      </c>
      <c r="F653">
        <v>198501</v>
      </c>
      <c r="G653">
        <v>199012</v>
      </c>
      <c r="H653">
        <v>74</v>
      </c>
      <c r="I653">
        <v>100</v>
      </c>
      <c r="J653">
        <v>1590</v>
      </c>
      <c r="K653">
        <v>3278320</v>
      </c>
      <c r="L653" t="s">
        <v>116</v>
      </c>
      <c r="M653" t="str">
        <f>"LX897"</f>
        <v>LX897</v>
      </c>
      <c r="N653" t="str">
        <f>"LX 897"</f>
        <v>LX 897</v>
      </c>
      <c r="O653" t="str">
        <f>"78444192"</f>
        <v>78444192</v>
      </c>
      <c r="P653" t="s">
        <v>132</v>
      </c>
      <c r="Q653" t="str">
        <f>"4009026103852"</f>
        <v>4009026103852</v>
      </c>
      <c r="R653" t="s">
        <v>137</v>
      </c>
      <c r="T653" s="1" t="s">
        <v>155</v>
      </c>
      <c r="U653">
        <v>8</v>
      </c>
      <c r="V653" t="s">
        <v>132</v>
      </c>
      <c r="W653" t="s">
        <v>70</v>
      </c>
      <c r="X653" t="s">
        <v>135</v>
      </c>
      <c r="Y653" t="s">
        <v>136</v>
      </c>
    </row>
    <row r="654" spans="1:25">
      <c r="A654">
        <v>13529</v>
      </c>
      <c r="B654" t="s">
        <v>25</v>
      </c>
      <c r="C654" t="str">
        <f t="shared" si="21"/>
        <v>INTEGRA Saloon</v>
      </c>
      <c r="D654" t="str">
        <f t="shared" si="20"/>
        <v>1.6</v>
      </c>
      <c r="E654" t="s">
        <v>26</v>
      </c>
      <c r="F654">
        <v>198501</v>
      </c>
      <c r="G654">
        <v>199012</v>
      </c>
      <c r="H654">
        <v>74</v>
      </c>
      <c r="I654">
        <v>100</v>
      </c>
      <c r="J654">
        <v>1590</v>
      </c>
      <c r="K654">
        <v>3349579</v>
      </c>
      <c r="L654" t="s">
        <v>1265</v>
      </c>
      <c r="M654" t="str">
        <f>"332021"</f>
        <v>332021</v>
      </c>
      <c r="N654" t="str">
        <f>"33-2021"</f>
        <v>33-2021</v>
      </c>
      <c r="O654" t="str">
        <f>""</f>
        <v/>
      </c>
      <c r="P654" t="s">
        <v>132</v>
      </c>
      <c r="Q654" t="str">
        <f>""</f>
        <v/>
      </c>
      <c r="U654">
        <v>8</v>
      </c>
      <c r="V654" t="s">
        <v>132</v>
      </c>
      <c r="W654" t="s">
        <v>70</v>
      </c>
      <c r="X654" t="s">
        <v>135</v>
      </c>
      <c r="Y654" t="s">
        <v>136</v>
      </c>
    </row>
    <row r="655" spans="1:25">
      <c r="A655">
        <v>13529</v>
      </c>
      <c r="B655" t="s">
        <v>25</v>
      </c>
      <c r="C655" t="str">
        <f t="shared" si="21"/>
        <v>INTEGRA Saloon</v>
      </c>
      <c r="D655" t="str">
        <f t="shared" si="20"/>
        <v>1.6</v>
      </c>
      <c r="E655" t="s">
        <v>26</v>
      </c>
      <c r="F655">
        <v>198501</v>
      </c>
      <c r="G655">
        <v>199012</v>
      </c>
      <c r="H655">
        <v>74</v>
      </c>
      <c r="I655">
        <v>100</v>
      </c>
      <c r="J655">
        <v>1590</v>
      </c>
      <c r="K655">
        <v>3522359</v>
      </c>
      <c r="L655" t="s">
        <v>156</v>
      </c>
      <c r="M655" t="str">
        <f>"18041"</f>
        <v>18041</v>
      </c>
      <c r="N655" t="str">
        <f>"18041"</f>
        <v>18041</v>
      </c>
      <c r="O655" t="str">
        <f>""</f>
        <v/>
      </c>
      <c r="P655" t="s">
        <v>132</v>
      </c>
      <c r="Q655" t="str">
        <f>""</f>
        <v/>
      </c>
      <c r="T655" s="1" t="s">
        <v>152</v>
      </c>
      <c r="U655">
        <v>8</v>
      </c>
      <c r="V655" t="s">
        <v>132</v>
      </c>
      <c r="W655" t="s">
        <v>70</v>
      </c>
      <c r="X655" t="s">
        <v>135</v>
      </c>
      <c r="Y655" t="s">
        <v>136</v>
      </c>
    </row>
    <row r="656" spans="1:25">
      <c r="A656">
        <v>13529</v>
      </c>
      <c r="B656" t="s">
        <v>25</v>
      </c>
      <c r="C656" t="str">
        <f t="shared" si="21"/>
        <v>INTEGRA Saloon</v>
      </c>
      <c r="D656" t="str">
        <f t="shared" si="20"/>
        <v>1.6</v>
      </c>
      <c r="E656" t="s">
        <v>26</v>
      </c>
      <c r="F656">
        <v>198501</v>
      </c>
      <c r="G656">
        <v>199012</v>
      </c>
      <c r="H656">
        <v>74</v>
      </c>
      <c r="I656">
        <v>100</v>
      </c>
      <c r="J656">
        <v>1590</v>
      </c>
      <c r="K656">
        <v>3963826</v>
      </c>
      <c r="L656" t="s">
        <v>27</v>
      </c>
      <c r="M656" t="str">
        <f>"H08503"</f>
        <v>H08503</v>
      </c>
      <c r="N656" t="str">
        <f>"H085-03"</f>
        <v>H085-03</v>
      </c>
      <c r="O656" t="str">
        <f>""</f>
        <v/>
      </c>
      <c r="P656" t="s">
        <v>132</v>
      </c>
      <c r="Q656" t="str">
        <f>"8718993208779"</f>
        <v>8718993208779</v>
      </c>
      <c r="R656" t="s">
        <v>157</v>
      </c>
      <c r="T656" s="1" t="s">
        <v>158</v>
      </c>
      <c r="U656">
        <v>8</v>
      </c>
      <c r="V656" t="s">
        <v>132</v>
      </c>
      <c r="W656" t="s">
        <v>70</v>
      </c>
      <c r="X656" t="s">
        <v>135</v>
      </c>
      <c r="Y656" t="s">
        <v>136</v>
      </c>
    </row>
    <row r="657" spans="1:25">
      <c r="A657">
        <v>13529</v>
      </c>
      <c r="B657" t="s">
        <v>25</v>
      </c>
      <c r="C657" t="str">
        <f t="shared" si="21"/>
        <v>INTEGRA Saloon</v>
      </c>
      <c r="D657" t="str">
        <f t="shared" si="20"/>
        <v>1.6</v>
      </c>
      <c r="E657" t="s">
        <v>26</v>
      </c>
      <c r="F657">
        <v>198501</v>
      </c>
      <c r="G657">
        <v>199012</v>
      </c>
      <c r="H657">
        <v>74</v>
      </c>
      <c r="I657">
        <v>100</v>
      </c>
      <c r="J657">
        <v>1590</v>
      </c>
      <c r="K657">
        <v>2441639</v>
      </c>
      <c r="L657" t="s">
        <v>1248</v>
      </c>
      <c r="M657" t="str">
        <f>"3161500"</f>
        <v>3161500</v>
      </c>
      <c r="N657" t="str">
        <f>"31.615.00"</f>
        <v>31.615.00</v>
      </c>
      <c r="O657" t="str">
        <f>""</f>
        <v/>
      </c>
      <c r="P657" t="s">
        <v>159</v>
      </c>
      <c r="Q657" t="str">
        <f>"8003453153936"</f>
        <v>8003453153936</v>
      </c>
      <c r="R657" t="s">
        <v>1266</v>
      </c>
      <c r="T657" s="1" t="s">
        <v>1267</v>
      </c>
      <c r="U657">
        <v>9</v>
      </c>
      <c r="V657" t="s">
        <v>159</v>
      </c>
      <c r="W657" t="s">
        <v>70</v>
      </c>
      <c r="X657" t="s">
        <v>162</v>
      </c>
      <c r="Y657" t="s">
        <v>163</v>
      </c>
    </row>
    <row r="658" spans="1:25">
      <c r="A658">
        <v>13529</v>
      </c>
      <c r="B658" t="s">
        <v>25</v>
      </c>
      <c r="C658" t="str">
        <f t="shared" si="21"/>
        <v>INTEGRA Saloon</v>
      </c>
      <c r="D658" t="str">
        <f t="shared" si="20"/>
        <v>1.6</v>
      </c>
      <c r="E658" t="s">
        <v>26</v>
      </c>
      <c r="F658">
        <v>198501</v>
      </c>
      <c r="G658">
        <v>199012</v>
      </c>
      <c r="H658">
        <v>74</v>
      </c>
      <c r="I658">
        <v>100</v>
      </c>
      <c r="J658">
        <v>1590</v>
      </c>
      <c r="K658">
        <v>2494651</v>
      </c>
      <c r="L658" t="s">
        <v>1255</v>
      </c>
      <c r="M658" t="str">
        <f>"S1615B"</f>
        <v>S1615B</v>
      </c>
      <c r="N658" t="str">
        <f>"S 1615 B"</f>
        <v>S 1615 B</v>
      </c>
      <c r="O658" t="str">
        <f>""</f>
        <v/>
      </c>
      <c r="P658" t="s">
        <v>159</v>
      </c>
      <c r="Q658" t="str">
        <f>""</f>
        <v/>
      </c>
      <c r="U658">
        <v>9</v>
      </c>
      <c r="V658" t="s">
        <v>159</v>
      </c>
      <c r="W658" t="s">
        <v>70</v>
      </c>
      <c r="X658" t="s">
        <v>162</v>
      </c>
      <c r="Y658" t="s">
        <v>163</v>
      </c>
    </row>
    <row r="659" spans="1:25">
      <c r="A659">
        <v>13529</v>
      </c>
      <c r="B659" t="s">
        <v>25</v>
      </c>
      <c r="C659" t="str">
        <f t="shared" si="21"/>
        <v>INTEGRA Saloon</v>
      </c>
      <c r="D659" t="str">
        <f t="shared" si="20"/>
        <v>1.6</v>
      </c>
      <c r="E659" t="s">
        <v>26</v>
      </c>
      <c r="F659">
        <v>198501</v>
      </c>
      <c r="G659">
        <v>199012</v>
      </c>
      <c r="H659">
        <v>74</v>
      </c>
      <c r="I659">
        <v>100</v>
      </c>
      <c r="J659">
        <v>1590</v>
      </c>
      <c r="K659">
        <v>2716408</v>
      </c>
      <c r="L659" t="s">
        <v>149</v>
      </c>
      <c r="M659" t="str">
        <f>"A110481"</f>
        <v>A110481</v>
      </c>
      <c r="N659" t="str">
        <f>"A110481"</f>
        <v>A110481</v>
      </c>
      <c r="O659" t="str">
        <f>""</f>
        <v/>
      </c>
      <c r="P659" t="s">
        <v>159</v>
      </c>
      <c r="Q659" t="str">
        <f>"5901225736383"</f>
        <v>5901225736383</v>
      </c>
      <c r="R659" t="s">
        <v>1268</v>
      </c>
      <c r="T659" t="s">
        <v>1269</v>
      </c>
      <c r="U659">
        <v>9</v>
      </c>
      <c r="V659" t="s">
        <v>159</v>
      </c>
      <c r="W659" t="s">
        <v>70</v>
      </c>
      <c r="X659" t="s">
        <v>162</v>
      </c>
      <c r="Y659" t="s">
        <v>163</v>
      </c>
    </row>
    <row r="660" spans="1:25">
      <c r="A660">
        <v>13529</v>
      </c>
      <c r="B660" t="s">
        <v>25</v>
      </c>
      <c r="C660" t="str">
        <f t="shared" si="21"/>
        <v>INTEGRA Saloon</v>
      </c>
      <c r="D660" t="str">
        <f t="shared" si="20"/>
        <v>1.6</v>
      </c>
      <c r="E660" t="s">
        <v>26</v>
      </c>
      <c r="F660">
        <v>198501</v>
      </c>
      <c r="G660">
        <v>199012</v>
      </c>
      <c r="H660">
        <v>74</v>
      </c>
      <c r="I660">
        <v>100</v>
      </c>
      <c r="J660">
        <v>1590</v>
      </c>
      <c r="K660">
        <v>3026968</v>
      </c>
      <c r="L660" t="s">
        <v>33</v>
      </c>
      <c r="M660" t="str">
        <f>"J1334005"</f>
        <v>J1334005</v>
      </c>
      <c r="N660" t="str">
        <f>"J1334005"</f>
        <v>J1334005</v>
      </c>
      <c r="O660" t="str">
        <f>""</f>
        <v/>
      </c>
      <c r="P660" t="s">
        <v>159</v>
      </c>
      <c r="Q660" t="str">
        <f>"8711768035877"</f>
        <v>8711768035877</v>
      </c>
      <c r="R660" t="s">
        <v>167</v>
      </c>
      <c r="T660" s="1" t="s">
        <v>168</v>
      </c>
      <c r="U660">
        <v>9</v>
      </c>
      <c r="V660" t="s">
        <v>159</v>
      </c>
      <c r="W660" t="s">
        <v>70</v>
      </c>
      <c r="X660" t="s">
        <v>162</v>
      </c>
      <c r="Y660" t="s">
        <v>163</v>
      </c>
    </row>
    <row r="661" spans="1:25">
      <c r="A661">
        <v>13529</v>
      </c>
      <c r="B661" t="s">
        <v>25</v>
      </c>
      <c r="C661" t="str">
        <f t="shared" si="21"/>
        <v>INTEGRA Saloon</v>
      </c>
      <c r="D661" t="str">
        <f t="shared" si="20"/>
        <v>1.6</v>
      </c>
      <c r="E661" t="s">
        <v>26</v>
      </c>
      <c r="F661">
        <v>198501</v>
      </c>
      <c r="G661">
        <v>199012</v>
      </c>
      <c r="H661">
        <v>74</v>
      </c>
      <c r="I661">
        <v>100</v>
      </c>
      <c r="J661">
        <v>1590</v>
      </c>
      <c r="K661">
        <v>3650049</v>
      </c>
      <c r="L661" t="s">
        <v>119</v>
      </c>
      <c r="M661" t="str">
        <f>"XB132"</f>
        <v>XB132</v>
      </c>
      <c r="N661" t="str">
        <f>"XB132"</f>
        <v>XB132</v>
      </c>
      <c r="O661" t="str">
        <f>""</f>
        <v/>
      </c>
      <c r="P661" t="s">
        <v>159</v>
      </c>
      <c r="Q661" t="str">
        <f>""</f>
        <v/>
      </c>
      <c r="R661" t="s">
        <v>1270</v>
      </c>
      <c r="T661" t="s">
        <v>1271</v>
      </c>
      <c r="U661">
        <v>9</v>
      </c>
      <c r="V661" t="s">
        <v>159</v>
      </c>
      <c r="W661" t="s">
        <v>70</v>
      </c>
      <c r="X661" t="s">
        <v>162</v>
      </c>
      <c r="Y661" t="s">
        <v>163</v>
      </c>
    </row>
    <row r="662" spans="1:25">
      <c r="A662">
        <v>13529</v>
      </c>
      <c r="B662" t="s">
        <v>25</v>
      </c>
      <c r="C662" t="str">
        <f t="shared" si="21"/>
        <v>INTEGRA Saloon</v>
      </c>
      <c r="D662" t="str">
        <f t="shared" si="20"/>
        <v>1.6</v>
      </c>
      <c r="E662" t="s">
        <v>26</v>
      </c>
      <c r="F662">
        <v>198501</v>
      </c>
      <c r="G662">
        <v>199012</v>
      </c>
      <c r="H662">
        <v>74</v>
      </c>
      <c r="I662">
        <v>100</v>
      </c>
      <c r="J662">
        <v>1590</v>
      </c>
      <c r="K662">
        <v>3963878</v>
      </c>
      <c r="L662" t="s">
        <v>27</v>
      </c>
      <c r="M662" t="str">
        <f>"H09501"</f>
        <v>H09501</v>
      </c>
      <c r="N662" t="str">
        <f>"H095-01"</f>
        <v>H095-01</v>
      </c>
      <c r="O662" t="str">
        <f>""</f>
        <v/>
      </c>
      <c r="P662" t="s">
        <v>159</v>
      </c>
      <c r="Q662" t="str">
        <f>"8718993209325"</f>
        <v>8718993209325</v>
      </c>
      <c r="R662" t="s">
        <v>169</v>
      </c>
      <c r="T662" s="1" t="s">
        <v>170</v>
      </c>
      <c r="U662">
        <v>9</v>
      </c>
      <c r="V662" t="s">
        <v>159</v>
      </c>
      <c r="W662" t="s">
        <v>70</v>
      </c>
      <c r="X662" t="s">
        <v>162</v>
      </c>
      <c r="Y662" t="s">
        <v>163</v>
      </c>
    </row>
    <row r="663" spans="1:25">
      <c r="A663">
        <v>13529</v>
      </c>
      <c r="B663" t="s">
        <v>25</v>
      </c>
      <c r="C663" t="str">
        <f t="shared" si="21"/>
        <v>INTEGRA Saloon</v>
      </c>
      <c r="D663" t="str">
        <f t="shared" si="20"/>
        <v>1.6</v>
      </c>
      <c r="E663" t="s">
        <v>26</v>
      </c>
      <c r="F663">
        <v>198501</v>
      </c>
      <c r="G663">
        <v>199012</v>
      </c>
      <c r="H663">
        <v>74</v>
      </c>
      <c r="I663">
        <v>100</v>
      </c>
      <c r="J663">
        <v>1590</v>
      </c>
      <c r="K663">
        <v>3963879</v>
      </c>
      <c r="L663" t="s">
        <v>27</v>
      </c>
      <c r="M663" t="str">
        <f>"H09503"</f>
        <v>H09503</v>
      </c>
      <c r="N663" t="str">
        <f>"H095-03"</f>
        <v>H095-03</v>
      </c>
      <c r="O663" t="str">
        <f>""</f>
        <v/>
      </c>
      <c r="P663" t="s">
        <v>159</v>
      </c>
      <c r="Q663" t="str">
        <f>"8718993209332"</f>
        <v>8718993209332</v>
      </c>
      <c r="R663" t="s">
        <v>171</v>
      </c>
      <c r="T663" t="s">
        <v>172</v>
      </c>
      <c r="U663">
        <v>9</v>
      </c>
      <c r="V663" t="s">
        <v>159</v>
      </c>
      <c r="W663" t="s">
        <v>70</v>
      </c>
      <c r="X663" t="s">
        <v>162</v>
      </c>
      <c r="Y663" t="s">
        <v>163</v>
      </c>
    </row>
    <row r="664" spans="1:25">
      <c r="A664">
        <v>13529</v>
      </c>
      <c r="B664" t="s">
        <v>25</v>
      </c>
      <c r="C664" t="str">
        <f t="shared" si="21"/>
        <v>INTEGRA Saloon</v>
      </c>
      <c r="D664" t="str">
        <f t="shared" si="20"/>
        <v>1.6</v>
      </c>
      <c r="E664" t="s">
        <v>26</v>
      </c>
      <c r="F664">
        <v>198501</v>
      </c>
      <c r="G664">
        <v>199012</v>
      </c>
      <c r="H664">
        <v>74</v>
      </c>
      <c r="I664">
        <v>100</v>
      </c>
      <c r="J664">
        <v>1590</v>
      </c>
      <c r="K664">
        <v>125742</v>
      </c>
      <c r="L664" t="s">
        <v>173</v>
      </c>
      <c r="M664" t="str">
        <f>"6216MC"</f>
        <v>6216MC</v>
      </c>
      <c r="N664" t="str">
        <f>"6216MC"</f>
        <v>6216MC</v>
      </c>
      <c r="O664" t="str">
        <f>""</f>
        <v/>
      </c>
      <c r="P664" t="s">
        <v>174</v>
      </c>
      <c r="Q664" t="str">
        <f>"5412571000467"</f>
        <v>5412571000467</v>
      </c>
      <c r="S664" t="s">
        <v>184</v>
      </c>
      <c r="T664" s="1" t="s">
        <v>1272</v>
      </c>
      <c r="U664">
        <v>10</v>
      </c>
      <c r="V664" t="s">
        <v>174</v>
      </c>
      <c r="W664" t="s">
        <v>177</v>
      </c>
      <c r="X664" t="s">
        <v>178</v>
      </c>
      <c r="Y664" t="s">
        <v>174</v>
      </c>
    </row>
    <row r="665" spans="1:25">
      <c r="A665">
        <v>13529</v>
      </c>
      <c r="B665" t="s">
        <v>25</v>
      </c>
      <c r="C665" t="str">
        <f t="shared" si="21"/>
        <v>INTEGRA Saloon</v>
      </c>
      <c r="D665" t="str">
        <f t="shared" si="20"/>
        <v>1.6</v>
      </c>
      <c r="E665" t="s">
        <v>26</v>
      </c>
      <c r="F665">
        <v>198501</v>
      </c>
      <c r="G665">
        <v>199012</v>
      </c>
      <c r="H665">
        <v>74</v>
      </c>
      <c r="I665">
        <v>100</v>
      </c>
      <c r="J665">
        <v>1590</v>
      </c>
      <c r="K665">
        <v>127139</v>
      </c>
      <c r="L665" t="s">
        <v>173</v>
      </c>
      <c r="M665" t="str">
        <f>"6466MC"</f>
        <v>6466MC</v>
      </c>
      <c r="N665" t="str">
        <f>"6466MC"</f>
        <v>6466MC</v>
      </c>
      <c r="O665" t="str">
        <f>""</f>
        <v/>
      </c>
      <c r="P665" t="s">
        <v>174</v>
      </c>
      <c r="Q665" t="str">
        <f>"5412571000986"</f>
        <v>5412571000986</v>
      </c>
      <c r="S665" t="s">
        <v>175</v>
      </c>
      <c r="T665" s="1" t="s">
        <v>1273</v>
      </c>
      <c r="U665">
        <v>10</v>
      </c>
      <c r="V665" t="s">
        <v>174</v>
      </c>
      <c r="W665" t="s">
        <v>177</v>
      </c>
      <c r="X665" t="s">
        <v>178</v>
      </c>
      <c r="Y665" t="s">
        <v>174</v>
      </c>
    </row>
    <row r="666" spans="1:25">
      <c r="A666">
        <v>13529</v>
      </c>
      <c r="B666" t="s">
        <v>25</v>
      </c>
      <c r="C666" t="str">
        <f t="shared" si="21"/>
        <v>INTEGRA Saloon</v>
      </c>
      <c r="D666" t="str">
        <f t="shared" si="20"/>
        <v>1.6</v>
      </c>
      <c r="E666" t="s">
        <v>26</v>
      </c>
      <c r="F666">
        <v>198501</v>
      </c>
      <c r="G666">
        <v>199012</v>
      </c>
      <c r="H666">
        <v>74</v>
      </c>
      <c r="I666">
        <v>100</v>
      </c>
      <c r="J666">
        <v>1590</v>
      </c>
      <c r="K666">
        <v>2231154</v>
      </c>
      <c r="L666" t="s">
        <v>181</v>
      </c>
      <c r="M666" t="str">
        <f>"8640100900"</f>
        <v>8640100900</v>
      </c>
      <c r="N666" t="str">
        <f>"8640 100900"</f>
        <v>8640 100900</v>
      </c>
      <c r="O666" t="str">
        <f>""</f>
        <v/>
      </c>
      <c r="P666" t="s">
        <v>174</v>
      </c>
      <c r="Q666" t="str">
        <f>"5709147080672"</f>
        <v>5709147080672</v>
      </c>
      <c r="S666" t="s">
        <v>184</v>
      </c>
      <c r="T666" s="1" t="s">
        <v>1274</v>
      </c>
      <c r="U666">
        <v>10</v>
      </c>
      <c r="V666" t="s">
        <v>174</v>
      </c>
      <c r="W666" t="s">
        <v>177</v>
      </c>
      <c r="X666" t="s">
        <v>178</v>
      </c>
      <c r="Y666" t="s">
        <v>174</v>
      </c>
    </row>
    <row r="667" spans="1:25">
      <c r="A667">
        <v>13529</v>
      </c>
      <c r="B667" t="s">
        <v>25</v>
      </c>
      <c r="C667" t="str">
        <f t="shared" si="21"/>
        <v>INTEGRA Saloon</v>
      </c>
      <c r="D667" t="str">
        <f t="shared" si="20"/>
        <v>1.6</v>
      </c>
      <c r="E667" t="s">
        <v>26</v>
      </c>
      <c r="F667">
        <v>198501</v>
      </c>
      <c r="G667">
        <v>199012</v>
      </c>
      <c r="H667">
        <v>74</v>
      </c>
      <c r="I667">
        <v>100</v>
      </c>
      <c r="J667">
        <v>1590</v>
      </c>
      <c r="K667">
        <v>2231217</v>
      </c>
      <c r="L667" t="s">
        <v>181</v>
      </c>
      <c r="M667" t="str">
        <f>"8640130900"</f>
        <v>8640130900</v>
      </c>
      <c r="N667" t="str">
        <f>"8640 130900"</f>
        <v>8640 130900</v>
      </c>
      <c r="O667" t="str">
        <f>""</f>
        <v/>
      </c>
      <c r="P667" t="s">
        <v>174</v>
      </c>
      <c r="Q667" t="str">
        <f>"5709147081341"</f>
        <v>5709147081341</v>
      </c>
      <c r="S667" t="s">
        <v>175</v>
      </c>
      <c r="T667" s="1" t="s">
        <v>182</v>
      </c>
      <c r="U667">
        <v>10</v>
      </c>
      <c r="V667" t="s">
        <v>174</v>
      </c>
      <c r="W667" t="s">
        <v>177</v>
      </c>
      <c r="X667" t="s">
        <v>178</v>
      </c>
      <c r="Y667" t="s">
        <v>174</v>
      </c>
    </row>
    <row r="668" spans="1:25">
      <c r="A668">
        <v>13529</v>
      </c>
      <c r="B668" t="s">
        <v>25</v>
      </c>
      <c r="C668" t="str">
        <f t="shared" si="21"/>
        <v>INTEGRA Saloon</v>
      </c>
      <c r="D668" t="str">
        <f t="shared" si="20"/>
        <v>1.6</v>
      </c>
      <c r="E668" t="s">
        <v>26</v>
      </c>
      <c r="F668">
        <v>198501</v>
      </c>
      <c r="G668">
        <v>199012</v>
      </c>
      <c r="H668">
        <v>74</v>
      </c>
      <c r="I668">
        <v>100</v>
      </c>
      <c r="J668">
        <v>1590</v>
      </c>
      <c r="K668">
        <v>3152684</v>
      </c>
      <c r="L668" t="s">
        <v>1275</v>
      </c>
      <c r="M668" t="str">
        <f>"1118003809"</f>
        <v>1118003809</v>
      </c>
      <c r="N668" t="str">
        <f>"1118003809"</f>
        <v>1118003809</v>
      </c>
      <c r="O668" t="str">
        <f>""</f>
        <v/>
      </c>
      <c r="P668" t="s">
        <v>174</v>
      </c>
      <c r="Q668" t="str">
        <f>"5710412271756"</f>
        <v>5710412271756</v>
      </c>
      <c r="R668" t="s">
        <v>1276</v>
      </c>
      <c r="S668" t="s">
        <v>184</v>
      </c>
      <c r="T668" s="1" t="s">
        <v>1277</v>
      </c>
      <c r="U668">
        <v>10</v>
      </c>
      <c r="V668" t="s">
        <v>174</v>
      </c>
      <c r="W668" t="s">
        <v>177</v>
      </c>
      <c r="X668" t="s">
        <v>178</v>
      </c>
      <c r="Y668" t="s">
        <v>174</v>
      </c>
    </row>
    <row r="669" spans="1:25">
      <c r="A669">
        <v>13529</v>
      </c>
      <c r="B669" t="s">
        <v>25</v>
      </c>
      <c r="C669" t="str">
        <f t="shared" si="21"/>
        <v>INTEGRA Saloon</v>
      </c>
      <c r="D669" t="str">
        <f t="shared" si="20"/>
        <v>1.6</v>
      </c>
      <c r="E669" t="s">
        <v>26</v>
      </c>
      <c r="F669">
        <v>198501</v>
      </c>
      <c r="G669">
        <v>199012</v>
      </c>
      <c r="H669">
        <v>74</v>
      </c>
      <c r="I669">
        <v>100</v>
      </c>
      <c r="J669">
        <v>1590</v>
      </c>
      <c r="K669">
        <v>4277002</v>
      </c>
      <c r="L669" t="s">
        <v>129</v>
      </c>
      <c r="M669" t="str">
        <f>"10KSM900"</f>
        <v>10KSM900</v>
      </c>
      <c r="N669" t="str">
        <f>"10KSM900"</f>
        <v>10KSM900</v>
      </c>
      <c r="O669" t="str">
        <f>""</f>
        <v/>
      </c>
      <c r="P669" t="s">
        <v>174</v>
      </c>
      <c r="Q669" t="str">
        <f>"8421779544908"</f>
        <v>8421779544908</v>
      </c>
      <c r="R669" t="s">
        <v>1276</v>
      </c>
      <c r="S669" t="s">
        <v>1278</v>
      </c>
      <c r="T669" s="1" t="s">
        <v>1279</v>
      </c>
      <c r="U669">
        <v>10</v>
      </c>
      <c r="V669" t="s">
        <v>174</v>
      </c>
      <c r="W669" t="s">
        <v>177</v>
      </c>
      <c r="X669" t="s">
        <v>178</v>
      </c>
      <c r="Y669" t="s">
        <v>174</v>
      </c>
    </row>
    <row r="670" spans="1:25">
      <c r="A670">
        <v>13529</v>
      </c>
      <c r="B670" t="s">
        <v>25</v>
      </c>
      <c r="C670" t="str">
        <f t="shared" si="21"/>
        <v>INTEGRA Saloon</v>
      </c>
      <c r="D670" t="str">
        <f t="shared" si="20"/>
        <v>1.6</v>
      </c>
      <c r="E670" t="s">
        <v>26</v>
      </c>
      <c r="F670">
        <v>198501</v>
      </c>
      <c r="G670">
        <v>199012</v>
      </c>
      <c r="H670">
        <v>74</v>
      </c>
      <c r="I670">
        <v>100</v>
      </c>
      <c r="J670">
        <v>1590</v>
      </c>
      <c r="K670">
        <v>4277035</v>
      </c>
      <c r="L670" t="s">
        <v>129</v>
      </c>
      <c r="M670" t="str">
        <f>"13KSM900"</f>
        <v>13KSM900</v>
      </c>
      <c r="N670" t="str">
        <f>"13KSM900"</f>
        <v>13KSM900</v>
      </c>
      <c r="O670" t="str">
        <f>""</f>
        <v/>
      </c>
      <c r="P670" t="s">
        <v>174</v>
      </c>
      <c r="Q670" t="str">
        <f>"8421779545226"</f>
        <v>8421779545226</v>
      </c>
      <c r="R670" t="s">
        <v>190</v>
      </c>
      <c r="S670" t="s">
        <v>191</v>
      </c>
      <c r="T670" s="1" t="s">
        <v>192</v>
      </c>
      <c r="U670">
        <v>10</v>
      </c>
      <c r="V670" t="s">
        <v>174</v>
      </c>
      <c r="W670" t="s">
        <v>177</v>
      </c>
      <c r="X670" t="s">
        <v>178</v>
      </c>
      <c r="Y670" t="s">
        <v>174</v>
      </c>
    </row>
    <row r="671" spans="1:25">
      <c r="A671">
        <v>13529</v>
      </c>
      <c r="B671" t="s">
        <v>25</v>
      </c>
      <c r="C671" t="str">
        <f t="shared" si="21"/>
        <v>INTEGRA Saloon</v>
      </c>
      <c r="D671" t="str">
        <f t="shared" si="20"/>
        <v>1.6</v>
      </c>
      <c r="E671" t="s">
        <v>26</v>
      </c>
      <c r="F671">
        <v>198501</v>
      </c>
      <c r="G671">
        <v>199012</v>
      </c>
      <c r="H671">
        <v>74</v>
      </c>
      <c r="I671">
        <v>100</v>
      </c>
      <c r="J671">
        <v>1590</v>
      </c>
      <c r="K671">
        <v>4415389</v>
      </c>
      <c r="L671" t="s">
        <v>193</v>
      </c>
      <c r="M671" t="str">
        <f>"10X900LX"</f>
        <v>10X900LX</v>
      </c>
      <c r="N671" t="str">
        <f>"10X900LX"</f>
        <v>10X900LX</v>
      </c>
      <c r="O671" t="str">
        <f>""</f>
        <v/>
      </c>
      <c r="P671" t="s">
        <v>174</v>
      </c>
      <c r="Q671" t="str">
        <f>"4905601000175"</f>
        <v>4905601000175</v>
      </c>
      <c r="R671" t="s">
        <v>1280</v>
      </c>
      <c r="S671" t="s">
        <v>1278</v>
      </c>
      <c r="T671" s="1" t="s">
        <v>1281</v>
      </c>
      <c r="U671">
        <v>10</v>
      </c>
      <c r="V671" t="s">
        <v>174</v>
      </c>
      <c r="W671" t="s">
        <v>177</v>
      </c>
      <c r="X671" t="s">
        <v>178</v>
      </c>
      <c r="Y671" t="s">
        <v>174</v>
      </c>
    </row>
    <row r="672" spans="1:25">
      <c r="A672">
        <v>13529</v>
      </c>
      <c r="B672" t="s">
        <v>25</v>
      </c>
      <c r="C672" t="str">
        <f t="shared" si="21"/>
        <v>INTEGRA Saloon</v>
      </c>
      <c r="D672" t="str">
        <f t="shared" si="20"/>
        <v>1.6</v>
      </c>
      <c r="E672" t="s">
        <v>26</v>
      </c>
      <c r="F672">
        <v>198501</v>
      </c>
      <c r="G672">
        <v>199012</v>
      </c>
      <c r="H672">
        <v>74</v>
      </c>
      <c r="I672">
        <v>100</v>
      </c>
      <c r="J672">
        <v>1590</v>
      </c>
      <c r="K672">
        <v>4415523</v>
      </c>
      <c r="L672" t="s">
        <v>193</v>
      </c>
      <c r="M672" t="str">
        <f>"13X900LX"</f>
        <v>13X900LX</v>
      </c>
      <c r="N672" t="str">
        <f>"13X900LX"</f>
        <v>13X900LX</v>
      </c>
      <c r="O672" t="str">
        <f>""</f>
        <v/>
      </c>
      <c r="P672" t="s">
        <v>174</v>
      </c>
      <c r="Q672" t="str">
        <f>"4905601000472"</f>
        <v>4905601000472</v>
      </c>
      <c r="R672" t="s">
        <v>194</v>
      </c>
      <c r="S672" t="s">
        <v>191</v>
      </c>
      <c r="T672" s="1" t="s">
        <v>1282</v>
      </c>
      <c r="U672">
        <v>10</v>
      </c>
      <c r="V672" t="s">
        <v>174</v>
      </c>
      <c r="W672" t="s">
        <v>177</v>
      </c>
      <c r="X672" t="s">
        <v>178</v>
      </c>
      <c r="Y672" t="s">
        <v>174</v>
      </c>
    </row>
    <row r="673" spans="1:25">
      <c r="A673">
        <v>13529</v>
      </c>
      <c r="B673" t="s">
        <v>25</v>
      </c>
      <c r="C673" t="str">
        <f t="shared" si="21"/>
        <v>INTEGRA Saloon</v>
      </c>
      <c r="D673" t="str">
        <f t="shared" si="20"/>
        <v>1.6</v>
      </c>
      <c r="E673" t="s">
        <v>26</v>
      </c>
      <c r="F673">
        <v>198501</v>
      </c>
      <c r="G673">
        <v>199012</v>
      </c>
      <c r="H673">
        <v>74</v>
      </c>
      <c r="I673">
        <v>100</v>
      </c>
      <c r="J673">
        <v>1590</v>
      </c>
      <c r="K673">
        <v>700323</v>
      </c>
      <c r="L673" t="s">
        <v>46</v>
      </c>
      <c r="M673" t="str">
        <f>"AC3001"</f>
        <v>AC3001</v>
      </c>
      <c r="N673" t="str">
        <f>"AC3001"</f>
        <v>AC3001</v>
      </c>
      <c r="O673" t="str">
        <f>""</f>
        <v/>
      </c>
      <c r="P673" t="s">
        <v>50</v>
      </c>
      <c r="Q673" t="str">
        <f>""</f>
        <v/>
      </c>
      <c r="U673">
        <v>13</v>
      </c>
      <c r="V673" t="s">
        <v>50</v>
      </c>
      <c r="W673" t="s">
        <v>197</v>
      </c>
      <c r="X673" t="s">
        <v>49</v>
      </c>
      <c r="Y673" t="s">
        <v>50</v>
      </c>
    </row>
    <row r="674" spans="1:25">
      <c r="A674">
        <v>13529</v>
      </c>
      <c r="B674" t="s">
        <v>25</v>
      </c>
      <c r="C674" t="str">
        <f t="shared" si="21"/>
        <v>INTEGRA Saloon</v>
      </c>
      <c r="D674" t="str">
        <f t="shared" si="20"/>
        <v>1.6</v>
      </c>
      <c r="E674" t="s">
        <v>26</v>
      </c>
      <c r="F674">
        <v>198501</v>
      </c>
      <c r="G674">
        <v>199012</v>
      </c>
      <c r="H674">
        <v>74</v>
      </c>
      <c r="I674">
        <v>100</v>
      </c>
      <c r="J674">
        <v>1590</v>
      </c>
      <c r="K674">
        <v>700324</v>
      </c>
      <c r="L674" t="s">
        <v>46</v>
      </c>
      <c r="M674" t="str">
        <f>"AC3002"</f>
        <v>AC3002</v>
      </c>
      <c r="N674" t="str">
        <f>"AC3002"</f>
        <v>AC3002</v>
      </c>
      <c r="O674" t="str">
        <f>""</f>
        <v/>
      </c>
      <c r="P674" t="s">
        <v>50</v>
      </c>
      <c r="Q674" t="str">
        <f>""</f>
        <v/>
      </c>
      <c r="U674">
        <v>13</v>
      </c>
      <c r="V674" t="s">
        <v>50</v>
      </c>
      <c r="W674" t="s">
        <v>197</v>
      </c>
      <c r="X674" t="s">
        <v>49</v>
      </c>
      <c r="Y674" t="s">
        <v>50</v>
      </c>
    </row>
    <row r="675" spans="1:25">
      <c r="A675">
        <v>13529</v>
      </c>
      <c r="B675" t="s">
        <v>25</v>
      </c>
      <c r="C675" t="str">
        <f t="shared" si="21"/>
        <v>INTEGRA Saloon</v>
      </c>
      <c r="D675" t="str">
        <f t="shared" si="20"/>
        <v>1.6</v>
      </c>
      <c r="E675" t="s">
        <v>26</v>
      </c>
      <c r="F675">
        <v>198501</v>
      </c>
      <c r="G675">
        <v>199012</v>
      </c>
      <c r="H675">
        <v>74</v>
      </c>
      <c r="I675">
        <v>100</v>
      </c>
      <c r="J675">
        <v>1590</v>
      </c>
      <c r="K675">
        <v>700325</v>
      </c>
      <c r="L675" t="s">
        <v>46</v>
      </c>
      <c r="M675" t="str">
        <f>"AC3003"</f>
        <v>AC3003</v>
      </c>
      <c r="N675" t="str">
        <f>"AC3003"</f>
        <v>AC3003</v>
      </c>
      <c r="O675" t="str">
        <f>""</f>
        <v/>
      </c>
      <c r="P675" t="s">
        <v>50</v>
      </c>
      <c r="Q675" t="str">
        <f>""</f>
        <v/>
      </c>
      <c r="U675">
        <v>13</v>
      </c>
      <c r="V675" t="s">
        <v>50</v>
      </c>
      <c r="W675" t="s">
        <v>197</v>
      </c>
      <c r="X675" t="s">
        <v>49</v>
      </c>
      <c r="Y675" t="s">
        <v>50</v>
      </c>
    </row>
    <row r="676" spans="1:25">
      <c r="A676">
        <v>13529</v>
      </c>
      <c r="B676" t="s">
        <v>25</v>
      </c>
      <c r="C676" t="str">
        <f t="shared" si="21"/>
        <v>INTEGRA Saloon</v>
      </c>
      <c r="D676" t="str">
        <f t="shared" si="20"/>
        <v>1.6</v>
      </c>
      <c r="E676" t="s">
        <v>26</v>
      </c>
      <c r="F676">
        <v>198501</v>
      </c>
      <c r="G676">
        <v>199012</v>
      </c>
      <c r="H676">
        <v>74</v>
      </c>
      <c r="I676">
        <v>100</v>
      </c>
      <c r="J676">
        <v>1590</v>
      </c>
      <c r="K676">
        <v>700326</v>
      </c>
      <c r="L676" t="s">
        <v>46</v>
      </c>
      <c r="M676" t="str">
        <f>"AC3004"</f>
        <v>AC3004</v>
      </c>
      <c r="N676" t="str">
        <f>"AC3004"</f>
        <v>AC3004</v>
      </c>
      <c r="O676" t="str">
        <f>""</f>
        <v/>
      </c>
      <c r="P676" t="s">
        <v>50</v>
      </c>
      <c r="Q676" t="str">
        <f>""</f>
        <v/>
      </c>
      <c r="U676">
        <v>13</v>
      </c>
      <c r="V676" t="s">
        <v>50</v>
      </c>
      <c r="W676" t="s">
        <v>197</v>
      </c>
      <c r="X676" t="s">
        <v>49</v>
      </c>
      <c r="Y676" t="s">
        <v>50</v>
      </c>
    </row>
    <row r="677" spans="1:25">
      <c r="A677">
        <v>13529</v>
      </c>
      <c r="B677" t="s">
        <v>25</v>
      </c>
      <c r="C677" t="str">
        <f t="shared" si="21"/>
        <v>INTEGRA Saloon</v>
      </c>
      <c r="D677" t="str">
        <f t="shared" si="20"/>
        <v>1.6</v>
      </c>
      <c r="E677" t="s">
        <v>26</v>
      </c>
      <c r="F677">
        <v>198501</v>
      </c>
      <c r="G677">
        <v>199012</v>
      </c>
      <c r="H677">
        <v>74</v>
      </c>
      <c r="I677">
        <v>100</v>
      </c>
      <c r="J677">
        <v>1590</v>
      </c>
      <c r="K677">
        <v>909887</v>
      </c>
      <c r="L677" t="s">
        <v>198</v>
      </c>
      <c r="M677" t="str">
        <f>"DA02002"</f>
        <v>DA02002</v>
      </c>
      <c r="N677" t="str">
        <f>"DA02002"</f>
        <v>DA02002</v>
      </c>
      <c r="O677" t="str">
        <f>""</f>
        <v/>
      </c>
      <c r="P677" t="s">
        <v>50</v>
      </c>
      <c r="Q677" t="str">
        <f>"5415047056968"</f>
        <v>5415047056968</v>
      </c>
      <c r="U677">
        <v>13</v>
      </c>
      <c r="V677" t="s">
        <v>50</v>
      </c>
      <c r="W677" t="s">
        <v>197</v>
      </c>
      <c r="X677" t="s">
        <v>49</v>
      </c>
      <c r="Y677" t="s">
        <v>50</v>
      </c>
    </row>
    <row r="678" spans="1:25">
      <c r="A678">
        <v>13529</v>
      </c>
      <c r="B678" t="s">
        <v>25</v>
      </c>
      <c r="C678" t="str">
        <f t="shared" si="21"/>
        <v>INTEGRA Saloon</v>
      </c>
      <c r="D678" t="str">
        <f t="shared" si="20"/>
        <v>1.6</v>
      </c>
      <c r="E678" t="s">
        <v>26</v>
      </c>
      <c r="F678">
        <v>198501</v>
      </c>
      <c r="G678">
        <v>199012</v>
      </c>
      <c r="H678">
        <v>74</v>
      </c>
      <c r="I678">
        <v>100</v>
      </c>
      <c r="J678">
        <v>1590</v>
      </c>
      <c r="K678">
        <v>909888</v>
      </c>
      <c r="L678" t="s">
        <v>198</v>
      </c>
      <c r="M678" t="str">
        <f>"DA02004"</f>
        <v>DA02004</v>
      </c>
      <c r="N678" t="str">
        <f>"DA02004"</f>
        <v>DA02004</v>
      </c>
      <c r="O678" t="str">
        <f>""</f>
        <v/>
      </c>
      <c r="P678" t="s">
        <v>50</v>
      </c>
      <c r="Q678" t="str">
        <f>"5415047056975"</f>
        <v>5415047056975</v>
      </c>
      <c r="U678">
        <v>13</v>
      </c>
      <c r="V678" t="s">
        <v>50</v>
      </c>
      <c r="W678" t="s">
        <v>197</v>
      </c>
      <c r="X678" t="s">
        <v>49</v>
      </c>
      <c r="Y678" t="s">
        <v>50</v>
      </c>
    </row>
    <row r="679" spans="1:25">
      <c r="A679">
        <v>13529</v>
      </c>
      <c r="B679" t="s">
        <v>25</v>
      </c>
      <c r="C679" t="str">
        <f t="shared" si="21"/>
        <v>INTEGRA Saloon</v>
      </c>
      <c r="D679" t="str">
        <f t="shared" si="20"/>
        <v>1.6</v>
      </c>
      <c r="E679" t="s">
        <v>26</v>
      </c>
      <c r="F679">
        <v>198501</v>
      </c>
      <c r="G679">
        <v>199012</v>
      </c>
      <c r="H679">
        <v>74</v>
      </c>
      <c r="I679">
        <v>100</v>
      </c>
      <c r="J679">
        <v>1590</v>
      </c>
      <c r="K679">
        <v>909889</v>
      </c>
      <c r="L679" t="s">
        <v>198</v>
      </c>
      <c r="M679" t="str">
        <f>"DA02006"</f>
        <v>DA02006</v>
      </c>
      <c r="N679" t="str">
        <f>"DA02006"</f>
        <v>DA02006</v>
      </c>
      <c r="O679" t="str">
        <f>""</f>
        <v/>
      </c>
      <c r="P679" t="s">
        <v>50</v>
      </c>
      <c r="Q679" t="str">
        <f>"5415047056982"</f>
        <v>5415047056982</v>
      </c>
      <c r="U679">
        <v>13</v>
      </c>
      <c r="V679" t="s">
        <v>50</v>
      </c>
      <c r="W679" t="s">
        <v>197</v>
      </c>
      <c r="X679" t="s">
        <v>49</v>
      </c>
      <c r="Y679" t="s">
        <v>50</v>
      </c>
    </row>
    <row r="680" spans="1:25">
      <c r="A680">
        <v>13529</v>
      </c>
      <c r="B680" t="s">
        <v>25</v>
      </c>
      <c r="C680" t="str">
        <f t="shared" si="21"/>
        <v>INTEGRA Saloon</v>
      </c>
      <c r="D680" t="str">
        <f t="shared" si="20"/>
        <v>1.6</v>
      </c>
      <c r="E680" t="s">
        <v>26</v>
      </c>
      <c r="F680">
        <v>198501</v>
      </c>
      <c r="G680">
        <v>199012</v>
      </c>
      <c r="H680">
        <v>74</v>
      </c>
      <c r="I680">
        <v>100</v>
      </c>
      <c r="J680">
        <v>1590</v>
      </c>
      <c r="K680">
        <v>909890</v>
      </c>
      <c r="L680" t="s">
        <v>198</v>
      </c>
      <c r="M680" t="str">
        <f>"DA02008"</f>
        <v>DA02008</v>
      </c>
      <c r="N680" t="str">
        <f>"DA02008"</f>
        <v>DA02008</v>
      </c>
      <c r="O680" t="str">
        <f>""</f>
        <v/>
      </c>
      <c r="P680" t="s">
        <v>50</v>
      </c>
      <c r="Q680" t="str">
        <f>"5415047056999"</f>
        <v>5415047056999</v>
      </c>
      <c r="U680">
        <v>13</v>
      </c>
      <c r="V680" t="s">
        <v>50</v>
      </c>
      <c r="W680" t="s">
        <v>197</v>
      </c>
      <c r="X680" t="s">
        <v>49</v>
      </c>
      <c r="Y680" t="s">
        <v>50</v>
      </c>
    </row>
    <row r="681" spans="1:25">
      <c r="A681">
        <v>13529</v>
      </c>
      <c r="B681" t="s">
        <v>25</v>
      </c>
      <c r="C681" t="str">
        <f t="shared" si="21"/>
        <v>INTEGRA Saloon</v>
      </c>
      <c r="D681" t="str">
        <f t="shared" si="20"/>
        <v>1.6</v>
      </c>
      <c r="E681" t="s">
        <v>26</v>
      </c>
      <c r="F681">
        <v>198501</v>
      </c>
      <c r="G681">
        <v>199012</v>
      </c>
      <c r="H681">
        <v>74</v>
      </c>
      <c r="I681">
        <v>100</v>
      </c>
      <c r="J681">
        <v>1590</v>
      </c>
      <c r="K681">
        <v>4529905</v>
      </c>
      <c r="L681" t="s">
        <v>59</v>
      </c>
      <c r="M681" t="str">
        <f>"18041090"</f>
        <v>18041090</v>
      </c>
      <c r="N681" t="str">
        <f>"18-041090"</f>
        <v>18-041090</v>
      </c>
      <c r="O681" t="str">
        <f>""</f>
        <v/>
      </c>
      <c r="P681" t="s">
        <v>50</v>
      </c>
      <c r="Q681" t="str">
        <f>""</f>
        <v/>
      </c>
      <c r="R681" t="s">
        <v>1283</v>
      </c>
      <c r="S681" t="s">
        <v>1284</v>
      </c>
      <c r="T681" t="s">
        <v>1285</v>
      </c>
      <c r="U681">
        <v>13</v>
      </c>
      <c r="V681" t="s">
        <v>50</v>
      </c>
      <c r="W681" t="s">
        <v>197</v>
      </c>
      <c r="X681" t="s">
        <v>49</v>
      </c>
      <c r="Y681" t="s">
        <v>50</v>
      </c>
    </row>
    <row r="682" spans="1:25">
      <c r="A682">
        <v>13529</v>
      </c>
      <c r="B682" t="s">
        <v>25</v>
      </c>
      <c r="C682" t="str">
        <f t="shared" si="21"/>
        <v>INTEGRA Saloon</v>
      </c>
      <c r="D682" t="str">
        <f t="shared" ref="D682:D745" si="22">"1.6"</f>
        <v>1.6</v>
      </c>
      <c r="E682" t="s">
        <v>26</v>
      </c>
      <c r="F682">
        <v>198501</v>
      </c>
      <c r="G682">
        <v>199012</v>
      </c>
      <c r="H682">
        <v>74</v>
      </c>
      <c r="I682">
        <v>100</v>
      </c>
      <c r="J682">
        <v>1590</v>
      </c>
      <c r="K682">
        <v>4529934</v>
      </c>
      <c r="L682" t="s">
        <v>59</v>
      </c>
      <c r="M682" t="str">
        <f>"18042060"</f>
        <v>18042060</v>
      </c>
      <c r="N682" t="str">
        <f>"18-042060"</f>
        <v>18-042060</v>
      </c>
      <c r="O682" t="str">
        <f>""</f>
        <v/>
      </c>
      <c r="P682" t="s">
        <v>50</v>
      </c>
      <c r="Q682" t="str">
        <f>""</f>
        <v/>
      </c>
      <c r="R682" t="s">
        <v>1283</v>
      </c>
      <c r="S682" t="s">
        <v>1286</v>
      </c>
      <c r="T682" t="s">
        <v>1287</v>
      </c>
      <c r="U682">
        <v>13</v>
      </c>
      <c r="V682" t="s">
        <v>50</v>
      </c>
      <c r="W682" t="s">
        <v>197</v>
      </c>
      <c r="X682" t="s">
        <v>49</v>
      </c>
      <c r="Y682" t="s">
        <v>50</v>
      </c>
    </row>
    <row r="683" spans="1:25">
      <c r="A683">
        <v>13529</v>
      </c>
      <c r="B683" t="s">
        <v>25</v>
      </c>
      <c r="C683" t="str">
        <f t="shared" si="21"/>
        <v>INTEGRA Saloon</v>
      </c>
      <c r="D683" t="str">
        <f t="shared" si="22"/>
        <v>1.6</v>
      </c>
      <c r="E683" t="s">
        <v>26</v>
      </c>
      <c r="F683">
        <v>198501</v>
      </c>
      <c r="G683">
        <v>199012</v>
      </c>
      <c r="H683">
        <v>74</v>
      </c>
      <c r="I683">
        <v>100</v>
      </c>
      <c r="J683">
        <v>1590</v>
      </c>
      <c r="K683">
        <v>2250672</v>
      </c>
      <c r="L683" t="s">
        <v>636</v>
      </c>
      <c r="M683" t="str">
        <f>"JD052"</f>
        <v>JD052</v>
      </c>
      <c r="N683" t="str">
        <f>"JD052"</f>
        <v>JD052</v>
      </c>
      <c r="O683" t="str">
        <f>""</f>
        <v/>
      </c>
      <c r="P683" t="s">
        <v>1288</v>
      </c>
      <c r="Q683" t="str">
        <f>""</f>
        <v/>
      </c>
      <c r="S683" t="s">
        <v>1260</v>
      </c>
      <c r="T683" t="s">
        <v>1289</v>
      </c>
      <c r="U683">
        <v>27</v>
      </c>
      <c r="V683" t="s">
        <v>1288</v>
      </c>
      <c r="W683" t="s">
        <v>640</v>
      </c>
      <c r="X683" t="s">
        <v>641</v>
      </c>
      <c r="Y683" t="s">
        <v>1290</v>
      </c>
    </row>
    <row r="684" spans="1:25">
      <c r="A684">
        <v>13529</v>
      </c>
      <c r="B684" t="s">
        <v>25</v>
      </c>
      <c r="C684" t="str">
        <f t="shared" si="21"/>
        <v>INTEGRA Saloon</v>
      </c>
      <c r="D684" t="str">
        <f t="shared" si="22"/>
        <v>1.6</v>
      </c>
      <c r="E684" t="s">
        <v>26</v>
      </c>
      <c r="F684">
        <v>198501</v>
      </c>
      <c r="G684">
        <v>199012</v>
      </c>
      <c r="H684">
        <v>74</v>
      </c>
      <c r="I684">
        <v>100</v>
      </c>
      <c r="J684">
        <v>1590</v>
      </c>
      <c r="K684">
        <v>4129629</v>
      </c>
      <c r="L684" t="s">
        <v>1291</v>
      </c>
      <c r="M684" t="str">
        <f>"MG8338"</f>
        <v>MG8338</v>
      </c>
      <c r="N684" t="str">
        <f>"MG8338"</f>
        <v>MG8338</v>
      </c>
      <c r="O684" t="str">
        <f>""</f>
        <v/>
      </c>
      <c r="P684" t="s">
        <v>1288</v>
      </c>
      <c r="Q684" t="str">
        <f>""</f>
        <v/>
      </c>
      <c r="R684" t="s">
        <v>1292</v>
      </c>
      <c r="S684" t="s">
        <v>1293</v>
      </c>
      <c r="T684" t="s">
        <v>1294</v>
      </c>
      <c r="U684">
        <v>27</v>
      </c>
      <c r="V684" t="s">
        <v>1288</v>
      </c>
      <c r="W684" t="s">
        <v>640</v>
      </c>
      <c r="X684" t="s">
        <v>641</v>
      </c>
      <c r="Y684" t="s">
        <v>1290</v>
      </c>
    </row>
    <row r="685" spans="1:25">
      <c r="A685">
        <v>13529</v>
      </c>
      <c r="B685" t="s">
        <v>25</v>
      </c>
      <c r="C685" t="str">
        <f t="shared" si="21"/>
        <v>INTEGRA Saloon</v>
      </c>
      <c r="D685" t="str">
        <f t="shared" si="22"/>
        <v>1.6</v>
      </c>
      <c r="E685" t="s">
        <v>26</v>
      </c>
      <c r="F685">
        <v>198501</v>
      </c>
      <c r="G685">
        <v>199012</v>
      </c>
      <c r="H685">
        <v>74</v>
      </c>
      <c r="I685">
        <v>100</v>
      </c>
      <c r="J685">
        <v>1590</v>
      </c>
      <c r="K685">
        <v>2250678</v>
      </c>
      <c r="L685" t="s">
        <v>636</v>
      </c>
      <c r="M685" t="str">
        <f>"JD075"</f>
        <v>JD075</v>
      </c>
      <c r="N685" t="str">
        <f>"JD075"</f>
        <v>JD075</v>
      </c>
      <c r="O685" t="str">
        <f>""</f>
        <v/>
      </c>
      <c r="P685" t="s">
        <v>1295</v>
      </c>
      <c r="Q685" t="str">
        <f>""</f>
        <v/>
      </c>
      <c r="S685" t="s">
        <v>1260</v>
      </c>
      <c r="T685" t="s">
        <v>1296</v>
      </c>
      <c r="U685">
        <v>42</v>
      </c>
      <c r="V685" t="s">
        <v>1295</v>
      </c>
      <c r="W685" t="s">
        <v>640</v>
      </c>
      <c r="X685" t="s">
        <v>641</v>
      </c>
      <c r="Y685" t="s">
        <v>1297</v>
      </c>
    </row>
    <row r="686" spans="1:25">
      <c r="A686">
        <v>13529</v>
      </c>
      <c r="B686" t="s">
        <v>25</v>
      </c>
      <c r="C686" t="str">
        <f t="shared" si="21"/>
        <v>INTEGRA Saloon</v>
      </c>
      <c r="D686" t="str">
        <f t="shared" si="22"/>
        <v>1.6</v>
      </c>
      <c r="E686" t="s">
        <v>26</v>
      </c>
      <c r="F686">
        <v>198501</v>
      </c>
      <c r="G686">
        <v>199012</v>
      </c>
      <c r="H686">
        <v>74</v>
      </c>
      <c r="I686">
        <v>100</v>
      </c>
      <c r="J686">
        <v>1590</v>
      </c>
      <c r="K686">
        <v>4129391</v>
      </c>
      <c r="L686" t="s">
        <v>1291</v>
      </c>
      <c r="M686" t="str">
        <f>"MG6540"</f>
        <v>MG6540</v>
      </c>
      <c r="N686" t="str">
        <f>"MG6540"</f>
        <v>MG6540</v>
      </c>
      <c r="O686" t="str">
        <f>""</f>
        <v/>
      </c>
      <c r="P686" t="s">
        <v>1295</v>
      </c>
      <c r="Q686" t="str">
        <f>""</f>
        <v/>
      </c>
      <c r="R686" t="s">
        <v>1298</v>
      </c>
      <c r="S686" t="s">
        <v>1299</v>
      </c>
      <c r="T686" t="s">
        <v>1300</v>
      </c>
      <c r="U686">
        <v>42</v>
      </c>
      <c r="V686" t="s">
        <v>1295</v>
      </c>
      <c r="W686" t="s">
        <v>640</v>
      </c>
      <c r="X686" t="s">
        <v>641</v>
      </c>
      <c r="Y686" t="s">
        <v>1297</v>
      </c>
    </row>
    <row r="687" spans="1:25">
      <c r="A687">
        <v>13529</v>
      </c>
      <c r="B687" t="s">
        <v>25</v>
      </c>
      <c r="C687" t="str">
        <f t="shared" si="21"/>
        <v>INTEGRA Saloon</v>
      </c>
      <c r="D687" t="str">
        <f t="shared" si="22"/>
        <v>1.6</v>
      </c>
      <c r="E687" t="s">
        <v>26</v>
      </c>
      <c r="F687">
        <v>198501</v>
      </c>
      <c r="G687">
        <v>199012</v>
      </c>
      <c r="H687">
        <v>74</v>
      </c>
      <c r="I687">
        <v>100</v>
      </c>
      <c r="J687">
        <v>1590</v>
      </c>
      <c r="K687">
        <v>4129622</v>
      </c>
      <c r="L687" t="s">
        <v>1291</v>
      </c>
      <c r="M687" t="str">
        <f>"MG8331"</f>
        <v>MG8331</v>
      </c>
      <c r="N687" t="str">
        <f>"MG8331"</f>
        <v>MG8331</v>
      </c>
      <c r="O687" t="str">
        <f>""</f>
        <v/>
      </c>
      <c r="P687" t="s">
        <v>1295</v>
      </c>
      <c r="Q687" t="str">
        <f>""</f>
        <v/>
      </c>
      <c r="R687" t="s">
        <v>1301</v>
      </c>
      <c r="S687" t="s">
        <v>1302</v>
      </c>
      <c r="T687" t="s">
        <v>1303</v>
      </c>
      <c r="U687">
        <v>42</v>
      </c>
      <c r="V687" t="s">
        <v>1295</v>
      </c>
      <c r="W687" t="s">
        <v>640</v>
      </c>
      <c r="X687" t="s">
        <v>641</v>
      </c>
      <c r="Y687" t="s">
        <v>1297</v>
      </c>
    </row>
    <row r="688" spans="1:25">
      <c r="A688">
        <v>13529</v>
      </c>
      <c r="B688" t="s">
        <v>25</v>
      </c>
      <c r="C688" t="str">
        <f t="shared" si="21"/>
        <v>INTEGRA Saloon</v>
      </c>
      <c r="D688" t="str">
        <f t="shared" si="22"/>
        <v>1.6</v>
      </c>
      <c r="E688" t="s">
        <v>26</v>
      </c>
      <c r="F688">
        <v>198501</v>
      </c>
      <c r="G688">
        <v>199012</v>
      </c>
      <c r="H688">
        <v>74</v>
      </c>
      <c r="I688">
        <v>100</v>
      </c>
      <c r="J688">
        <v>1590</v>
      </c>
      <c r="K688">
        <v>583807</v>
      </c>
      <c r="L688" t="s">
        <v>1304</v>
      </c>
      <c r="M688" t="str">
        <f>"EQ5092500"</f>
        <v>EQ5092500</v>
      </c>
      <c r="N688" t="str">
        <f>"EQ5092500"</f>
        <v>EQ5092500</v>
      </c>
      <c r="O688" t="str">
        <f>""</f>
        <v/>
      </c>
      <c r="P688" t="s">
        <v>200</v>
      </c>
      <c r="Q688" t="str">
        <f>""</f>
        <v/>
      </c>
      <c r="U688">
        <v>48</v>
      </c>
      <c r="V688" t="s">
        <v>200</v>
      </c>
      <c r="W688" t="s">
        <v>203</v>
      </c>
      <c r="X688" t="s">
        <v>204</v>
      </c>
      <c r="Y688" t="s">
        <v>205</v>
      </c>
    </row>
    <row r="689" spans="1:25">
      <c r="A689">
        <v>13529</v>
      </c>
      <c r="B689" t="s">
        <v>25</v>
      </c>
      <c r="C689" t="str">
        <f t="shared" si="21"/>
        <v>INTEGRA Saloon</v>
      </c>
      <c r="D689" t="str">
        <f t="shared" si="22"/>
        <v>1.6</v>
      </c>
      <c r="E689" t="s">
        <v>26</v>
      </c>
      <c r="F689">
        <v>198501</v>
      </c>
      <c r="G689">
        <v>199012</v>
      </c>
      <c r="H689">
        <v>74</v>
      </c>
      <c r="I689">
        <v>100</v>
      </c>
      <c r="J689">
        <v>1590</v>
      </c>
      <c r="K689">
        <v>1119101</v>
      </c>
      <c r="L689" t="s">
        <v>1305</v>
      </c>
      <c r="M689" t="str">
        <f>"500030860"</f>
        <v>500030860</v>
      </c>
      <c r="N689" t="str">
        <f>"500 0308 60"</f>
        <v>500 0308 60</v>
      </c>
      <c r="O689" t="str">
        <f>""</f>
        <v/>
      </c>
      <c r="P689" t="s">
        <v>200</v>
      </c>
      <c r="Q689" t="str">
        <f>"4005108053183"</f>
        <v>4005108053183</v>
      </c>
      <c r="T689" s="1" t="s">
        <v>1306</v>
      </c>
      <c r="U689">
        <v>48</v>
      </c>
      <c r="V689" t="s">
        <v>200</v>
      </c>
      <c r="W689" t="s">
        <v>203</v>
      </c>
      <c r="X689" t="s">
        <v>204</v>
      </c>
      <c r="Y689" t="s">
        <v>205</v>
      </c>
    </row>
    <row r="690" spans="1:25">
      <c r="A690">
        <v>13529</v>
      </c>
      <c r="B690" t="s">
        <v>25</v>
      </c>
      <c r="C690" t="str">
        <f t="shared" si="21"/>
        <v>INTEGRA Saloon</v>
      </c>
      <c r="D690" t="str">
        <f t="shared" si="22"/>
        <v>1.6</v>
      </c>
      <c r="E690" t="s">
        <v>26</v>
      </c>
      <c r="F690">
        <v>198501</v>
      </c>
      <c r="G690">
        <v>199012</v>
      </c>
      <c r="H690">
        <v>74</v>
      </c>
      <c r="I690">
        <v>100</v>
      </c>
      <c r="J690">
        <v>1590</v>
      </c>
      <c r="K690">
        <v>3032402</v>
      </c>
      <c r="L690" t="s">
        <v>33</v>
      </c>
      <c r="M690" t="str">
        <f>"J4844008"</f>
        <v>J4844008</v>
      </c>
      <c r="N690" t="str">
        <f>"J4844008"</f>
        <v>J4844008</v>
      </c>
      <c r="O690" t="str">
        <f>""</f>
        <v/>
      </c>
      <c r="P690" t="s">
        <v>206</v>
      </c>
      <c r="Q690" t="str">
        <f>"8711768098988"</f>
        <v>8711768098988</v>
      </c>
      <c r="R690" t="s">
        <v>207</v>
      </c>
      <c r="S690" t="s">
        <v>208</v>
      </c>
      <c r="T690" s="1" t="s">
        <v>209</v>
      </c>
      <c r="U690">
        <v>51</v>
      </c>
      <c r="V690" t="s">
        <v>206</v>
      </c>
      <c r="W690" t="s">
        <v>210</v>
      </c>
      <c r="X690" t="s">
        <v>211</v>
      </c>
      <c r="Y690" t="s">
        <v>212</v>
      </c>
    </row>
    <row r="691" spans="1:25">
      <c r="A691">
        <v>13529</v>
      </c>
      <c r="B691" t="s">
        <v>25</v>
      </c>
      <c r="C691" t="str">
        <f t="shared" si="21"/>
        <v>INTEGRA Saloon</v>
      </c>
      <c r="D691" t="str">
        <f t="shared" si="22"/>
        <v>1.6</v>
      </c>
      <c r="E691" t="s">
        <v>26</v>
      </c>
      <c r="F691">
        <v>198501</v>
      </c>
      <c r="G691">
        <v>199012</v>
      </c>
      <c r="H691">
        <v>74</v>
      </c>
      <c r="I691">
        <v>100</v>
      </c>
      <c r="J691">
        <v>1590</v>
      </c>
      <c r="K691">
        <v>3032404</v>
      </c>
      <c r="L691" t="s">
        <v>33</v>
      </c>
      <c r="M691" t="str">
        <f>"J4844011"</f>
        <v>J4844011</v>
      </c>
      <c r="N691" t="str">
        <f>"J4844011"</f>
        <v>J4844011</v>
      </c>
      <c r="O691" t="str">
        <f>""</f>
        <v/>
      </c>
      <c r="P691" t="s">
        <v>206</v>
      </c>
      <c r="Q691" t="str">
        <f>"8711768137069"</f>
        <v>8711768137069</v>
      </c>
      <c r="R691" t="s">
        <v>213</v>
      </c>
      <c r="S691" t="s">
        <v>214</v>
      </c>
      <c r="T691" s="1" t="s">
        <v>215</v>
      </c>
      <c r="U691">
        <v>51</v>
      </c>
      <c r="V691" t="s">
        <v>206</v>
      </c>
      <c r="W691" t="s">
        <v>210</v>
      </c>
      <c r="X691" t="s">
        <v>211</v>
      </c>
      <c r="Y691" t="s">
        <v>212</v>
      </c>
    </row>
    <row r="692" spans="1:25">
      <c r="A692">
        <v>13529</v>
      </c>
      <c r="B692" t="s">
        <v>25</v>
      </c>
      <c r="C692" t="str">
        <f t="shared" si="21"/>
        <v>INTEGRA Saloon</v>
      </c>
      <c r="D692" t="str">
        <f t="shared" si="22"/>
        <v>1.6</v>
      </c>
      <c r="E692" t="s">
        <v>26</v>
      </c>
      <c r="F692">
        <v>198501</v>
      </c>
      <c r="G692">
        <v>199012</v>
      </c>
      <c r="H692">
        <v>74</v>
      </c>
      <c r="I692">
        <v>100</v>
      </c>
      <c r="J692">
        <v>1590</v>
      </c>
      <c r="K692">
        <v>3956470</v>
      </c>
      <c r="L692" t="s">
        <v>27</v>
      </c>
      <c r="M692" t="str">
        <f>"14528004"</f>
        <v>14528004</v>
      </c>
      <c r="N692" t="str">
        <f>"1452-8004"</f>
        <v>1452-8004</v>
      </c>
      <c r="O692" t="str">
        <f>""</f>
        <v/>
      </c>
      <c r="P692" t="s">
        <v>206</v>
      </c>
      <c r="Q692" t="str">
        <f>"8718993060919"</f>
        <v>8718993060919</v>
      </c>
      <c r="R692" t="s">
        <v>207</v>
      </c>
      <c r="S692" t="s">
        <v>216</v>
      </c>
      <c r="T692" s="1" t="s">
        <v>217</v>
      </c>
      <c r="U692">
        <v>51</v>
      </c>
      <c r="V692" t="s">
        <v>206</v>
      </c>
      <c r="W692" t="s">
        <v>210</v>
      </c>
      <c r="X692" t="s">
        <v>211</v>
      </c>
      <c r="Y692" t="s">
        <v>212</v>
      </c>
    </row>
    <row r="693" spans="1:25">
      <c r="A693">
        <v>13529</v>
      </c>
      <c r="B693" t="s">
        <v>25</v>
      </c>
      <c r="C693" t="str">
        <f t="shared" si="21"/>
        <v>INTEGRA Saloon</v>
      </c>
      <c r="D693" t="str">
        <f t="shared" si="22"/>
        <v>1.6</v>
      </c>
      <c r="E693" t="s">
        <v>26</v>
      </c>
      <c r="F693">
        <v>198501</v>
      </c>
      <c r="G693">
        <v>199012</v>
      </c>
      <c r="H693">
        <v>74</v>
      </c>
      <c r="I693">
        <v>100</v>
      </c>
      <c r="J693">
        <v>1590</v>
      </c>
      <c r="K693">
        <v>957005</v>
      </c>
      <c r="L693" t="s">
        <v>218</v>
      </c>
      <c r="M693" t="str">
        <f>"PRS0178"</f>
        <v>PRS0178</v>
      </c>
      <c r="N693" t="str">
        <f>"PRS0178"</f>
        <v>PRS0178</v>
      </c>
      <c r="O693" t="str">
        <f>""</f>
        <v/>
      </c>
      <c r="P693" t="s">
        <v>219</v>
      </c>
      <c r="Q693" t="str">
        <f>""</f>
        <v/>
      </c>
      <c r="R693" t="s">
        <v>220</v>
      </c>
      <c r="S693" t="s">
        <v>221</v>
      </c>
      <c r="T693" s="1" t="s">
        <v>222</v>
      </c>
      <c r="U693">
        <v>70</v>
      </c>
      <c r="V693" t="s">
        <v>219</v>
      </c>
      <c r="W693" t="s">
        <v>223</v>
      </c>
      <c r="X693" t="s">
        <v>224</v>
      </c>
    </row>
    <row r="694" spans="1:25">
      <c r="A694">
        <v>13529</v>
      </c>
      <c r="B694" t="s">
        <v>25</v>
      </c>
      <c r="C694" t="str">
        <f t="shared" si="21"/>
        <v>INTEGRA Saloon</v>
      </c>
      <c r="D694" t="str">
        <f t="shared" si="22"/>
        <v>1.6</v>
      </c>
      <c r="E694" t="s">
        <v>26</v>
      </c>
      <c r="F694">
        <v>198501</v>
      </c>
      <c r="G694">
        <v>199012</v>
      </c>
      <c r="H694">
        <v>74</v>
      </c>
      <c r="I694">
        <v>100</v>
      </c>
      <c r="J694">
        <v>1590</v>
      </c>
      <c r="K694">
        <v>1677515</v>
      </c>
      <c r="L694" t="s">
        <v>225</v>
      </c>
      <c r="M694" t="str">
        <f>"361605J"</f>
        <v>361605J</v>
      </c>
      <c r="N694" t="str">
        <f>"361605J"</f>
        <v>361605J</v>
      </c>
      <c r="O694" t="str">
        <f>"361605"</f>
        <v>361605</v>
      </c>
      <c r="P694" t="s">
        <v>219</v>
      </c>
      <c r="Q694" t="str">
        <f>""</f>
        <v/>
      </c>
      <c r="R694" t="s">
        <v>226</v>
      </c>
      <c r="T694" s="1" t="s">
        <v>1307</v>
      </c>
      <c r="U694">
        <v>70</v>
      </c>
      <c r="V694" t="s">
        <v>219</v>
      </c>
      <c r="W694" t="s">
        <v>223</v>
      </c>
      <c r="X694" t="s">
        <v>224</v>
      </c>
    </row>
    <row r="695" spans="1:25">
      <c r="A695">
        <v>13529</v>
      </c>
      <c r="B695" t="s">
        <v>25</v>
      </c>
      <c r="C695" t="str">
        <f t="shared" si="21"/>
        <v>INTEGRA Saloon</v>
      </c>
      <c r="D695" t="str">
        <f t="shared" si="22"/>
        <v>1.6</v>
      </c>
      <c r="E695" t="s">
        <v>26</v>
      </c>
      <c r="F695">
        <v>198501</v>
      </c>
      <c r="G695">
        <v>199012</v>
      </c>
      <c r="H695">
        <v>74</v>
      </c>
      <c r="I695">
        <v>100</v>
      </c>
      <c r="J695">
        <v>1590</v>
      </c>
      <c r="K695">
        <v>1820665</v>
      </c>
      <c r="L695" t="s">
        <v>228</v>
      </c>
      <c r="M695" t="str">
        <f>"FSB220"</f>
        <v>FSB220</v>
      </c>
      <c r="N695" t="str">
        <f>"FSB220"</f>
        <v>FSB220</v>
      </c>
      <c r="O695" t="str">
        <f>""</f>
        <v/>
      </c>
      <c r="P695" t="s">
        <v>219</v>
      </c>
      <c r="Q695" t="str">
        <f>"5016687024302"</f>
        <v>5016687024302</v>
      </c>
      <c r="R695" t="s">
        <v>229</v>
      </c>
      <c r="T695" s="1" t="s">
        <v>230</v>
      </c>
      <c r="U695">
        <v>70</v>
      </c>
      <c r="V695" t="s">
        <v>219</v>
      </c>
      <c r="W695" t="s">
        <v>223</v>
      </c>
      <c r="X695" t="s">
        <v>224</v>
      </c>
    </row>
    <row r="696" spans="1:25">
      <c r="A696">
        <v>13529</v>
      </c>
      <c r="B696" t="s">
        <v>25</v>
      </c>
      <c r="C696" t="str">
        <f t="shared" si="21"/>
        <v>INTEGRA Saloon</v>
      </c>
      <c r="D696" t="str">
        <f t="shared" si="22"/>
        <v>1.6</v>
      </c>
      <c r="E696" t="s">
        <v>26</v>
      </c>
      <c r="F696">
        <v>198501</v>
      </c>
      <c r="G696">
        <v>199012</v>
      </c>
      <c r="H696">
        <v>74</v>
      </c>
      <c r="I696">
        <v>100</v>
      </c>
      <c r="J696">
        <v>1590</v>
      </c>
      <c r="K696">
        <v>1895866</v>
      </c>
      <c r="L696" t="s">
        <v>231</v>
      </c>
      <c r="M696" t="str">
        <f>"S28504"</f>
        <v>S28504</v>
      </c>
      <c r="N696" t="str">
        <f>"S 28 504"</f>
        <v>S 28 504</v>
      </c>
      <c r="O696" t="str">
        <f>""</f>
        <v/>
      </c>
      <c r="P696" t="s">
        <v>219</v>
      </c>
      <c r="Q696" t="str">
        <f>"8432509641255"</f>
        <v>8432509641255</v>
      </c>
      <c r="R696" t="s">
        <v>232</v>
      </c>
      <c r="S696" t="s">
        <v>221</v>
      </c>
      <c r="T696" s="1" t="s">
        <v>233</v>
      </c>
      <c r="U696">
        <v>70</v>
      </c>
      <c r="V696" t="s">
        <v>219</v>
      </c>
      <c r="W696" t="s">
        <v>223</v>
      </c>
      <c r="X696" t="s">
        <v>224</v>
      </c>
    </row>
    <row r="697" spans="1:25">
      <c r="A697">
        <v>13529</v>
      </c>
      <c r="B697" t="s">
        <v>25</v>
      </c>
      <c r="C697" t="str">
        <f t="shared" si="21"/>
        <v>INTEGRA Saloon</v>
      </c>
      <c r="D697" t="str">
        <f t="shared" si="22"/>
        <v>1.6</v>
      </c>
      <c r="E697" t="s">
        <v>26</v>
      </c>
      <c r="F697">
        <v>198501</v>
      </c>
      <c r="G697">
        <v>199012</v>
      </c>
      <c r="H697">
        <v>74</v>
      </c>
      <c r="I697">
        <v>100</v>
      </c>
      <c r="J697">
        <v>1590</v>
      </c>
      <c r="K697">
        <v>2202151</v>
      </c>
      <c r="L697" t="s">
        <v>181</v>
      </c>
      <c r="M697" t="str">
        <f>"810040435"</f>
        <v>810040435</v>
      </c>
      <c r="N697" t="str">
        <f>"8100 40435"</f>
        <v>8100 40435</v>
      </c>
      <c r="O697" t="str">
        <f>""</f>
        <v/>
      </c>
      <c r="P697" t="s">
        <v>219</v>
      </c>
      <c r="Q697" t="str">
        <f>""</f>
        <v/>
      </c>
      <c r="S697" t="s">
        <v>221</v>
      </c>
      <c r="U697">
        <v>70</v>
      </c>
      <c r="V697" t="s">
        <v>219</v>
      </c>
      <c r="W697" t="s">
        <v>223</v>
      </c>
      <c r="X697" t="s">
        <v>224</v>
      </c>
    </row>
    <row r="698" spans="1:25">
      <c r="A698">
        <v>13529</v>
      </c>
      <c r="B698" t="s">
        <v>25</v>
      </c>
      <c r="C698" t="str">
        <f t="shared" si="21"/>
        <v>INTEGRA Saloon</v>
      </c>
      <c r="D698" t="str">
        <f t="shared" si="22"/>
        <v>1.6</v>
      </c>
      <c r="E698" t="s">
        <v>26</v>
      </c>
      <c r="F698">
        <v>198501</v>
      </c>
      <c r="G698">
        <v>199012</v>
      </c>
      <c r="H698">
        <v>74</v>
      </c>
      <c r="I698">
        <v>100</v>
      </c>
      <c r="J698">
        <v>1590</v>
      </c>
      <c r="K698">
        <v>2311641</v>
      </c>
      <c r="L698" t="s">
        <v>234</v>
      </c>
      <c r="M698" t="str">
        <f>"530151"</f>
        <v>530151</v>
      </c>
      <c r="N698" t="str">
        <f>"53-0151"</f>
        <v>53-0151</v>
      </c>
      <c r="O698" t="str">
        <f>""</f>
        <v/>
      </c>
      <c r="P698" t="s">
        <v>219</v>
      </c>
      <c r="Q698" t="str">
        <f>""</f>
        <v/>
      </c>
      <c r="R698" t="s">
        <v>220</v>
      </c>
      <c r="S698" t="s">
        <v>221</v>
      </c>
      <c r="T698" s="1" t="s">
        <v>235</v>
      </c>
      <c r="U698">
        <v>70</v>
      </c>
      <c r="V698" t="s">
        <v>219</v>
      </c>
      <c r="W698" t="s">
        <v>223</v>
      </c>
      <c r="X698" t="s">
        <v>224</v>
      </c>
    </row>
    <row r="699" spans="1:25">
      <c r="A699">
        <v>13529</v>
      </c>
      <c r="B699" t="s">
        <v>25</v>
      </c>
      <c r="C699" t="str">
        <f t="shared" si="21"/>
        <v>INTEGRA Saloon</v>
      </c>
      <c r="D699" t="str">
        <f t="shared" si="22"/>
        <v>1.6</v>
      </c>
      <c r="E699" t="s">
        <v>26</v>
      </c>
      <c r="F699">
        <v>198501</v>
      </c>
      <c r="G699">
        <v>199012</v>
      </c>
      <c r="H699">
        <v>74</v>
      </c>
      <c r="I699">
        <v>100</v>
      </c>
      <c r="J699">
        <v>1590</v>
      </c>
      <c r="K699">
        <v>2784767</v>
      </c>
      <c r="L699" t="s">
        <v>236</v>
      </c>
      <c r="M699" t="str">
        <f>"04820"</f>
        <v>04820</v>
      </c>
      <c r="N699" t="str">
        <f>"04820"</f>
        <v>04820</v>
      </c>
      <c r="O699" t="str">
        <f>"84820"</f>
        <v>84820</v>
      </c>
      <c r="P699" t="s">
        <v>219</v>
      </c>
      <c r="Q699" t="str">
        <f>"8032532039328"</f>
        <v>8032532039328</v>
      </c>
      <c r="R699" t="s">
        <v>237</v>
      </c>
      <c r="S699" t="s">
        <v>221</v>
      </c>
      <c r="T699" s="1" t="s">
        <v>238</v>
      </c>
      <c r="U699">
        <v>70</v>
      </c>
      <c r="V699" t="s">
        <v>219</v>
      </c>
      <c r="W699" t="s">
        <v>223</v>
      </c>
      <c r="X699" t="s">
        <v>224</v>
      </c>
    </row>
    <row r="700" spans="1:25">
      <c r="A700">
        <v>13529</v>
      </c>
      <c r="B700" t="s">
        <v>25</v>
      </c>
      <c r="C700" t="str">
        <f t="shared" si="21"/>
        <v>INTEGRA Saloon</v>
      </c>
      <c r="D700" t="str">
        <f t="shared" si="22"/>
        <v>1.6</v>
      </c>
      <c r="E700" t="s">
        <v>26</v>
      </c>
      <c r="F700">
        <v>198501</v>
      </c>
      <c r="G700">
        <v>199012</v>
      </c>
      <c r="H700">
        <v>74</v>
      </c>
      <c r="I700">
        <v>100</v>
      </c>
      <c r="J700">
        <v>1590</v>
      </c>
      <c r="K700">
        <v>2806454</v>
      </c>
      <c r="L700" t="s">
        <v>239</v>
      </c>
      <c r="M700" t="str">
        <f>"044008"</f>
        <v>044008</v>
      </c>
      <c r="N700" t="str">
        <f>"044.008"</f>
        <v>044.008</v>
      </c>
      <c r="O700" t="str">
        <f>""</f>
        <v/>
      </c>
      <c r="P700" t="s">
        <v>219</v>
      </c>
      <c r="Q700" t="str">
        <f>""</f>
        <v/>
      </c>
      <c r="R700" t="s">
        <v>240</v>
      </c>
      <c r="S700" t="s">
        <v>221</v>
      </c>
      <c r="T700" s="1" t="s">
        <v>241</v>
      </c>
      <c r="U700">
        <v>70</v>
      </c>
      <c r="V700" t="s">
        <v>219</v>
      </c>
      <c r="W700" t="s">
        <v>223</v>
      </c>
      <c r="X700" t="s">
        <v>224</v>
      </c>
    </row>
    <row r="701" spans="1:25">
      <c r="A701">
        <v>13529</v>
      </c>
      <c r="B701" t="s">
        <v>25</v>
      </c>
      <c r="C701" t="str">
        <f t="shared" si="21"/>
        <v>INTEGRA Saloon</v>
      </c>
      <c r="D701" t="str">
        <f t="shared" si="22"/>
        <v>1.6</v>
      </c>
      <c r="E701" t="s">
        <v>26</v>
      </c>
      <c r="F701">
        <v>198501</v>
      </c>
      <c r="G701">
        <v>199012</v>
      </c>
      <c r="H701">
        <v>74</v>
      </c>
      <c r="I701">
        <v>100</v>
      </c>
      <c r="J701">
        <v>1590</v>
      </c>
      <c r="K701">
        <v>2992756</v>
      </c>
      <c r="L701" t="s">
        <v>242</v>
      </c>
      <c r="M701" t="str">
        <f>"N1361"</f>
        <v>N1361</v>
      </c>
      <c r="N701" t="str">
        <f>"N1361"</f>
        <v>N1361</v>
      </c>
      <c r="O701" t="str">
        <f>""</f>
        <v/>
      </c>
      <c r="P701" t="s">
        <v>219</v>
      </c>
      <c r="Q701" t="str">
        <f>"8426345515856"</f>
        <v>8426345515856</v>
      </c>
      <c r="R701" t="s">
        <v>229</v>
      </c>
      <c r="T701" s="1" t="s">
        <v>243</v>
      </c>
      <c r="U701">
        <v>70</v>
      </c>
      <c r="V701" t="s">
        <v>219</v>
      </c>
      <c r="W701" t="s">
        <v>223</v>
      </c>
      <c r="X701" t="s">
        <v>224</v>
      </c>
    </row>
    <row r="702" spans="1:25">
      <c r="A702">
        <v>13529</v>
      </c>
      <c r="B702" t="s">
        <v>25</v>
      </c>
      <c r="C702" t="str">
        <f t="shared" si="21"/>
        <v>INTEGRA Saloon</v>
      </c>
      <c r="D702" t="str">
        <f t="shared" si="22"/>
        <v>1.6</v>
      </c>
      <c r="E702" t="s">
        <v>26</v>
      </c>
      <c r="F702">
        <v>198501</v>
      </c>
      <c r="G702">
        <v>199012</v>
      </c>
      <c r="H702">
        <v>74</v>
      </c>
      <c r="I702">
        <v>100</v>
      </c>
      <c r="J702">
        <v>1590</v>
      </c>
      <c r="K702">
        <v>3030583</v>
      </c>
      <c r="L702" t="s">
        <v>33</v>
      </c>
      <c r="M702" t="str">
        <f>"J3504009"</f>
        <v>J3504009</v>
      </c>
      <c r="N702" t="str">
        <f>"J3504009"</f>
        <v>J3504009</v>
      </c>
      <c r="O702" t="str">
        <f>""</f>
        <v/>
      </c>
      <c r="P702" t="s">
        <v>219</v>
      </c>
      <c r="Q702" t="str">
        <f>"8711768054830"</f>
        <v>8711768054830</v>
      </c>
      <c r="R702" t="s">
        <v>244</v>
      </c>
      <c r="S702" t="s">
        <v>221</v>
      </c>
      <c r="T702" s="1" t="s">
        <v>245</v>
      </c>
      <c r="U702">
        <v>70</v>
      </c>
      <c r="V702" t="s">
        <v>219</v>
      </c>
      <c r="W702" t="s">
        <v>223</v>
      </c>
      <c r="X702" t="s">
        <v>224</v>
      </c>
    </row>
    <row r="703" spans="1:25">
      <c r="A703">
        <v>13529</v>
      </c>
      <c r="B703" t="s">
        <v>25</v>
      </c>
      <c r="C703" t="str">
        <f t="shared" si="21"/>
        <v>INTEGRA Saloon</v>
      </c>
      <c r="D703" t="str">
        <f t="shared" si="22"/>
        <v>1.6</v>
      </c>
      <c r="E703" t="s">
        <v>26</v>
      </c>
      <c r="F703">
        <v>198501</v>
      </c>
      <c r="G703">
        <v>199012</v>
      </c>
      <c r="H703">
        <v>74</v>
      </c>
      <c r="I703">
        <v>100</v>
      </c>
      <c r="J703">
        <v>1590</v>
      </c>
      <c r="K703">
        <v>3234712</v>
      </c>
      <c r="L703" t="s">
        <v>199</v>
      </c>
      <c r="M703" t="str">
        <f>"04820"</f>
        <v>04820</v>
      </c>
      <c r="N703" t="str">
        <f>"04820"</f>
        <v>04820</v>
      </c>
      <c r="O703" t="str">
        <f>""</f>
        <v/>
      </c>
      <c r="P703" t="s">
        <v>219</v>
      </c>
      <c r="Q703" t="str">
        <f>""</f>
        <v/>
      </c>
      <c r="R703" t="s">
        <v>237</v>
      </c>
      <c r="S703" t="s">
        <v>221</v>
      </c>
      <c r="T703" s="1" t="s">
        <v>246</v>
      </c>
      <c r="U703">
        <v>70</v>
      </c>
      <c r="V703" t="s">
        <v>219</v>
      </c>
      <c r="W703" t="s">
        <v>223</v>
      </c>
      <c r="X703" t="s">
        <v>224</v>
      </c>
    </row>
    <row r="704" spans="1:25">
      <c r="A704">
        <v>13529</v>
      </c>
      <c r="B704" t="s">
        <v>25</v>
      </c>
      <c r="C704" t="str">
        <f t="shared" si="21"/>
        <v>INTEGRA Saloon</v>
      </c>
      <c r="D704" t="str">
        <f t="shared" si="22"/>
        <v>1.6</v>
      </c>
      <c r="E704" t="s">
        <v>26</v>
      </c>
      <c r="F704">
        <v>198501</v>
      </c>
      <c r="G704">
        <v>199012</v>
      </c>
      <c r="H704">
        <v>74</v>
      </c>
      <c r="I704">
        <v>100</v>
      </c>
      <c r="J704">
        <v>1590</v>
      </c>
      <c r="K704">
        <v>3298329</v>
      </c>
      <c r="L704" t="s">
        <v>247</v>
      </c>
      <c r="M704" t="str">
        <f>"1044008"</f>
        <v>1044008</v>
      </c>
      <c r="N704" t="str">
        <f>"1044.008"</f>
        <v>1044.008</v>
      </c>
      <c r="O704" t="str">
        <f>""</f>
        <v/>
      </c>
      <c r="P704" t="s">
        <v>219</v>
      </c>
      <c r="Q704" t="str">
        <f>""</f>
        <v/>
      </c>
      <c r="R704" t="s">
        <v>240</v>
      </c>
      <c r="S704" t="s">
        <v>221</v>
      </c>
      <c r="T704" s="1" t="s">
        <v>241</v>
      </c>
      <c r="U704">
        <v>70</v>
      </c>
      <c r="V704" t="s">
        <v>219</v>
      </c>
      <c r="W704" t="s">
        <v>223</v>
      </c>
      <c r="X704" t="s">
        <v>224</v>
      </c>
    </row>
    <row r="705" spans="1:24">
      <c r="A705">
        <v>13529</v>
      </c>
      <c r="B705" t="s">
        <v>25</v>
      </c>
      <c r="C705" t="str">
        <f t="shared" si="21"/>
        <v>INTEGRA Saloon</v>
      </c>
      <c r="D705" t="str">
        <f t="shared" si="22"/>
        <v>1.6</v>
      </c>
      <c r="E705" t="s">
        <v>26</v>
      </c>
      <c r="F705">
        <v>198501</v>
      </c>
      <c r="G705">
        <v>199012</v>
      </c>
      <c r="H705">
        <v>74</v>
      </c>
      <c r="I705">
        <v>100</v>
      </c>
      <c r="J705">
        <v>1590</v>
      </c>
      <c r="K705">
        <v>3366099</v>
      </c>
      <c r="L705" t="s">
        <v>248</v>
      </c>
      <c r="M705" t="str">
        <f>"153151"</f>
        <v>153151</v>
      </c>
      <c r="N705" t="str">
        <f>"153-151"</f>
        <v>153-151</v>
      </c>
      <c r="O705" t="str">
        <f>""</f>
        <v/>
      </c>
      <c r="P705" t="s">
        <v>219</v>
      </c>
      <c r="Q705" t="str">
        <f>""</f>
        <v/>
      </c>
      <c r="R705" t="s">
        <v>220</v>
      </c>
      <c r="S705" t="s">
        <v>221</v>
      </c>
      <c r="T705" s="1" t="s">
        <v>249</v>
      </c>
      <c r="U705">
        <v>70</v>
      </c>
      <c r="V705" t="s">
        <v>219</v>
      </c>
      <c r="W705" t="s">
        <v>223</v>
      </c>
      <c r="X705" t="s">
        <v>224</v>
      </c>
    </row>
    <row r="706" spans="1:24">
      <c r="A706">
        <v>13529</v>
      </c>
      <c r="B706" t="s">
        <v>25</v>
      </c>
      <c r="C706" t="str">
        <f t="shared" ref="C706:C769" si="23">"INTEGRA Saloon"</f>
        <v>INTEGRA Saloon</v>
      </c>
      <c r="D706" t="str">
        <f t="shared" si="22"/>
        <v>1.6</v>
      </c>
      <c r="E706" t="s">
        <v>26</v>
      </c>
      <c r="F706">
        <v>198501</v>
      </c>
      <c r="G706">
        <v>199012</v>
      </c>
      <c r="H706">
        <v>74</v>
      </c>
      <c r="I706">
        <v>100</v>
      </c>
      <c r="J706">
        <v>1590</v>
      </c>
      <c r="K706">
        <v>3963748</v>
      </c>
      <c r="L706" t="s">
        <v>27</v>
      </c>
      <c r="M706" t="str">
        <f>"H04601"</f>
        <v>H04601</v>
      </c>
      <c r="N706" t="str">
        <f>"H046-01"</f>
        <v>H046-01</v>
      </c>
      <c r="O706" t="str">
        <f>""</f>
        <v/>
      </c>
      <c r="P706" t="s">
        <v>219</v>
      </c>
      <c r="Q706" t="str">
        <f>"8718993207031"</f>
        <v>8718993207031</v>
      </c>
      <c r="R706" t="s">
        <v>250</v>
      </c>
      <c r="T706" s="1" t="s">
        <v>251</v>
      </c>
      <c r="U706">
        <v>70</v>
      </c>
      <c r="V706" t="s">
        <v>219</v>
      </c>
      <c r="W706" t="s">
        <v>223</v>
      </c>
      <c r="X706" t="s">
        <v>224</v>
      </c>
    </row>
    <row r="707" spans="1:24">
      <c r="A707">
        <v>13529</v>
      </c>
      <c r="B707" t="s">
        <v>25</v>
      </c>
      <c r="C707" t="str">
        <f t="shared" si="23"/>
        <v>INTEGRA Saloon</v>
      </c>
      <c r="D707" t="str">
        <f t="shared" si="22"/>
        <v>1.6</v>
      </c>
      <c r="E707" t="s">
        <v>26</v>
      </c>
      <c r="F707">
        <v>198501</v>
      </c>
      <c r="G707">
        <v>199012</v>
      </c>
      <c r="H707">
        <v>74</v>
      </c>
      <c r="I707">
        <v>100</v>
      </c>
      <c r="J707">
        <v>1590</v>
      </c>
      <c r="K707">
        <v>4088391</v>
      </c>
      <c r="L707" t="s">
        <v>252</v>
      </c>
      <c r="M707" t="str">
        <f>"S047"</f>
        <v>S047</v>
      </c>
      <c r="N707" t="str">
        <f>"S047"</f>
        <v>S047</v>
      </c>
      <c r="O707" t="str">
        <f>""</f>
        <v/>
      </c>
      <c r="P707" t="s">
        <v>219</v>
      </c>
      <c r="Q707" t="str">
        <f>"8016431200478"</f>
        <v>8016431200478</v>
      </c>
      <c r="R707" t="s">
        <v>253</v>
      </c>
      <c r="T707" s="1" t="s">
        <v>254</v>
      </c>
      <c r="U707">
        <v>70</v>
      </c>
      <c r="V707" t="s">
        <v>219</v>
      </c>
      <c r="W707" t="s">
        <v>223</v>
      </c>
      <c r="X707" t="s">
        <v>224</v>
      </c>
    </row>
    <row r="708" spans="1:24">
      <c r="A708">
        <v>13529</v>
      </c>
      <c r="B708" t="s">
        <v>25</v>
      </c>
      <c r="C708" t="str">
        <f t="shared" si="23"/>
        <v>INTEGRA Saloon</v>
      </c>
      <c r="D708" t="str">
        <f t="shared" si="22"/>
        <v>1.6</v>
      </c>
      <c r="E708" t="s">
        <v>26</v>
      </c>
      <c r="F708">
        <v>198501</v>
      </c>
      <c r="G708">
        <v>199012</v>
      </c>
      <c r="H708">
        <v>74</v>
      </c>
      <c r="I708">
        <v>100</v>
      </c>
      <c r="J708">
        <v>1590</v>
      </c>
      <c r="K708">
        <v>4197931</v>
      </c>
      <c r="L708" t="s">
        <v>255</v>
      </c>
      <c r="M708" t="str">
        <f>"C04003ABE"</f>
        <v>C04003ABE</v>
      </c>
      <c r="N708" t="str">
        <f>"C04003ABE"</f>
        <v>C04003ABE</v>
      </c>
      <c r="O708" t="str">
        <f>""</f>
        <v/>
      </c>
      <c r="P708" t="s">
        <v>219</v>
      </c>
      <c r="Q708" t="str">
        <f>""</f>
        <v/>
      </c>
      <c r="R708" t="s">
        <v>256</v>
      </c>
      <c r="T708" s="1" t="s">
        <v>257</v>
      </c>
      <c r="U708">
        <v>70</v>
      </c>
      <c r="V708" t="s">
        <v>219</v>
      </c>
      <c r="W708" t="s">
        <v>223</v>
      </c>
      <c r="X708" t="s">
        <v>224</v>
      </c>
    </row>
    <row r="709" spans="1:24">
      <c r="A709">
        <v>13529</v>
      </c>
      <c r="B709" t="s">
        <v>25</v>
      </c>
      <c r="C709" t="str">
        <f t="shared" si="23"/>
        <v>INTEGRA Saloon</v>
      </c>
      <c r="D709" t="str">
        <f t="shared" si="22"/>
        <v>1.6</v>
      </c>
      <c r="E709" t="s">
        <v>26</v>
      </c>
      <c r="F709">
        <v>198501</v>
      </c>
      <c r="G709">
        <v>199012</v>
      </c>
      <c r="H709">
        <v>74</v>
      </c>
      <c r="I709">
        <v>100</v>
      </c>
      <c r="J709">
        <v>1590</v>
      </c>
      <c r="K709">
        <v>4959296</v>
      </c>
      <c r="L709" t="s">
        <v>258</v>
      </c>
      <c r="M709" t="str">
        <f>"GF0702"</f>
        <v>GF0702</v>
      </c>
      <c r="N709" t="str">
        <f>"GF0702"</f>
        <v>GF0702</v>
      </c>
      <c r="O709" t="str">
        <f>""</f>
        <v/>
      </c>
      <c r="P709" t="s">
        <v>219</v>
      </c>
      <c r="Q709" t="str">
        <f>"805014145335"</f>
        <v>805014145335</v>
      </c>
      <c r="R709" t="s">
        <v>259</v>
      </c>
      <c r="T709" s="1" t="s">
        <v>260</v>
      </c>
      <c r="U709">
        <v>70</v>
      </c>
      <c r="V709" t="s">
        <v>219</v>
      </c>
      <c r="W709" t="s">
        <v>223</v>
      </c>
      <c r="X709" t="s">
        <v>224</v>
      </c>
    </row>
    <row r="710" spans="1:24">
      <c r="A710">
        <v>13529</v>
      </c>
      <c r="B710" t="s">
        <v>25</v>
      </c>
      <c r="C710" t="str">
        <f t="shared" si="23"/>
        <v>INTEGRA Saloon</v>
      </c>
      <c r="D710" t="str">
        <f t="shared" si="22"/>
        <v>1.6</v>
      </c>
      <c r="E710" t="s">
        <v>26</v>
      </c>
      <c r="F710">
        <v>198501</v>
      </c>
      <c r="G710">
        <v>199012</v>
      </c>
      <c r="H710">
        <v>74</v>
      </c>
      <c r="I710">
        <v>100</v>
      </c>
      <c r="J710">
        <v>1590</v>
      </c>
      <c r="K710">
        <v>3029294</v>
      </c>
      <c r="L710" t="s">
        <v>33</v>
      </c>
      <c r="M710" t="str">
        <f>"J3214000"</f>
        <v>J3214000</v>
      </c>
      <c r="N710" t="str">
        <f>"J3214000"</f>
        <v>J3214000</v>
      </c>
      <c r="O710" t="str">
        <f>""</f>
        <v/>
      </c>
      <c r="P710" t="s">
        <v>261</v>
      </c>
      <c r="Q710" t="str">
        <f>"8711768087401"</f>
        <v>8711768087401</v>
      </c>
      <c r="R710" t="s">
        <v>262</v>
      </c>
      <c r="S710" t="s">
        <v>263</v>
      </c>
      <c r="T710" s="1" t="s">
        <v>264</v>
      </c>
      <c r="U710">
        <v>78</v>
      </c>
      <c r="V710" t="s">
        <v>261</v>
      </c>
      <c r="W710" t="s">
        <v>261</v>
      </c>
      <c r="X710" t="s">
        <v>224</v>
      </c>
    </row>
    <row r="711" spans="1:24">
      <c r="A711">
        <v>13529</v>
      </c>
      <c r="B711" t="s">
        <v>25</v>
      </c>
      <c r="C711" t="str">
        <f t="shared" si="23"/>
        <v>INTEGRA Saloon</v>
      </c>
      <c r="D711" t="str">
        <f t="shared" si="22"/>
        <v>1.6</v>
      </c>
      <c r="E711" t="s">
        <v>26</v>
      </c>
      <c r="F711">
        <v>198501</v>
      </c>
      <c r="G711">
        <v>199012</v>
      </c>
      <c r="H711">
        <v>74</v>
      </c>
      <c r="I711">
        <v>100</v>
      </c>
      <c r="J711">
        <v>1590</v>
      </c>
      <c r="K711">
        <v>3029548</v>
      </c>
      <c r="L711" t="s">
        <v>33</v>
      </c>
      <c r="M711" t="str">
        <f>"J3224000"</f>
        <v>J3224000</v>
      </c>
      <c r="N711" t="str">
        <f>"J3224000"</f>
        <v>J3224000</v>
      </c>
      <c r="O711" t="str">
        <f>""</f>
        <v/>
      </c>
      <c r="P711" t="s">
        <v>261</v>
      </c>
      <c r="Q711" t="str">
        <f>"8711768087548"</f>
        <v>8711768087548</v>
      </c>
      <c r="R711" t="s">
        <v>262</v>
      </c>
      <c r="S711" t="s">
        <v>265</v>
      </c>
      <c r="T711" s="1" t="s">
        <v>266</v>
      </c>
      <c r="U711">
        <v>78</v>
      </c>
      <c r="V711" t="s">
        <v>261</v>
      </c>
      <c r="W711" t="s">
        <v>261</v>
      </c>
      <c r="X711" t="s">
        <v>224</v>
      </c>
    </row>
    <row r="712" spans="1:24">
      <c r="A712">
        <v>13529</v>
      </c>
      <c r="B712" t="s">
        <v>25</v>
      </c>
      <c r="C712" t="str">
        <f t="shared" si="23"/>
        <v>INTEGRA Saloon</v>
      </c>
      <c r="D712" t="str">
        <f t="shared" si="22"/>
        <v>1.6</v>
      </c>
      <c r="E712" t="s">
        <v>26</v>
      </c>
      <c r="F712">
        <v>198501</v>
      </c>
      <c r="G712">
        <v>199012</v>
      </c>
      <c r="H712">
        <v>74</v>
      </c>
      <c r="I712">
        <v>100</v>
      </c>
      <c r="J712">
        <v>1590</v>
      </c>
      <c r="K712">
        <v>2876</v>
      </c>
      <c r="L712" t="s">
        <v>236</v>
      </c>
      <c r="M712" t="str">
        <f>"H1131V"</f>
        <v>H1131V</v>
      </c>
      <c r="N712" t="str">
        <f>"H1131V"</f>
        <v>H1131V</v>
      </c>
      <c r="O712" t="str">
        <f>"H1131V"</f>
        <v>H1131V</v>
      </c>
      <c r="P712" t="s">
        <v>267</v>
      </c>
      <c r="Q712" t="str">
        <f>"8032532071045"</f>
        <v>8032532071045</v>
      </c>
      <c r="R712" t="s">
        <v>1308</v>
      </c>
      <c r="S712" t="s">
        <v>1309</v>
      </c>
      <c r="T712" s="1" t="s">
        <v>1310</v>
      </c>
      <c r="U712">
        <v>82</v>
      </c>
      <c r="V712" t="s">
        <v>267</v>
      </c>
      <c r="W712" t="s">
        <v>267</v>
      </c>
      <c r="X712" t="s">
        <v>224</v>
      </c>
    </row>
    <row r="713" spans="1:24">
      <c r="A713">
        <v>13529</v>
      </c>
      <c r="B713" t="s">
        <v>25</v>
      </c>
      <c r="C713" t="str">
        <f t="shared" si="23"/>
        <v>INTEGRA Saloon</v>
      </c>
      <c r="D713" t="str">
        <f t="shared" si="22"/>
        <v>1.6</v>
      </c>
      <c r="E713" t="s">
        <v>26</v>
      </c>
      <c r="F713">
        <v>198501</v>
      </c>
      <c r="G713">
        <v>199012</v>
      </c>
      <c r="H713">
        <v>74</v>
      </c>
      <c r="I713">
        <v>100</v>
      </c>
      <c r="J713">
        <v>1590</v>
      </c>
      <c r="K713">
        <v>2877</v>
      </c>
      <c r="L713" t="s">
        <v>236</v>
      </c>
      <c r="M713" t="str">
        <f>"H1141V"</f>
        <v>H1141V</v>
      </c>
      <c r="N713" t="str">
        <f>"H1141V"</f>
        <v>H1141V</v>
      </c>
      <c r="O713" t="str">
        <f>"H1141V"</f>
        <v>H1141V</v>
      </c>
      <c r="P713" t="s">
        <v>267</v>
      </c>
      <c r="Q713" t="str">
        <f>"8032532071052"</f>
        <v>8032532071052</v>
      </c>
      <c r="R713" t="s">
        <v>268</v>
      </c>
      <c r="S713" t="s">
        <v>269</v>
      </c>
      <c r="T713" s="1" t="s">
        <v>270</v>
      </c>
      <c r="U713">
        <v>82</v>
      </c>
      <c r="V713" t="s">
        <v>267</v>
      </c>
      <c r="W713" t="s">
        <v>267</v>
      </c>
      <c r="X713" t="s">
        <v>224</v>
      </c>
    </row>
    <row r="714" spans="1:24">
      <c r="A714">
        <v>13529</v>
      </c>
      <c r="B714" t="s">
        <v>25</v>
      </c>
      <c r="C714" t="str">
        <f t="shared" si="23"/>
        <v>INTEGRA Saloon</v>
      </c>
      <c r="D714" t="str">
        <f t="shared" si="22"/>
        <v>1.6</v>
      </c>
      <c r="E714" t="s">
        <v>26</v>
      </c>
      <c r="F714">
        <v>198501</v>
      </c>
      <c r="G714">
        <v>199012</v>
      </c>
      <c r="H714">
        <v>74</v>
      </c>
      <c r="I714">
        <v>100</v>
      </c>
      <c r="J714">
        <v>1590</v>
      </c>
      <c r="K714">
        <v>112212</v>
      </c>
      <c r="L714" t="s">
        <v>199</v>
      </c>
      <c r="M714" t="str">
        <f>"37580"</f>
        <v>37580</v>
      </c>
      <c r="N714" t="str">
        <f>"37580"</f>
        <v>37580</v>
      </c>
      <c r="O714" t="str">
        <f>""</f>
        <v/>
      </c>
      <c r="P714" t="s">
        <v>267</v>
      </c>
      <c r="Q714" t="str">
        <f>""</f>
        <v/>
      </c>
      <c r="R714" t="s">
        <v>271</v>
      </c>
      <c r="S714" t="s">
        <v>272</v>
      </c>
      <c r="T714" t="s">
        <v>273</v>
      </c>
      <c r="U714">
        <v>82</v>
      </c>
      <c r="V714" t="s">
        <v>267</v>
      </c>
      <c r="W714" t="s">
        <v>267</v>
      </c>
      <c r="X714" t="s">
        <v>224</v>
      </c>
    </row>
    <row r="715" spans="1:24">
      <c r="A715">
        <v>13529</v>
      </c>
      <c r="B715" t="s">
        <v>25</v>
      </c>
      <c r="C715" t="str">
        <f t="shared" si="23"/>
        <v>INTEGRA Saloon</v>
      </c>
      <c r="D715" t="str">
        <f t="shared" si="22"/>
        <v>1.6</v>
      </c>
      <c r="E715" t="s">
        <v>26</v>
      </c>
      <c r="F715">
        <v>198501</v>
      </c>
      <c r="G715">
        <v>199012</v>
      </c>
      <c r="H715">
        <v>74</v>
      </c>
      <c r="I715">
        <v>100</v>
      </c>
      <c r="J715">
        <v>1590</v>
      </c>
      <c r="K715">
        <v>211976</v>
      </c>
      <c r="L715" t="s">
        <v>274</v>
      </c>
      <c r="M715" t="str">
        <f>"190817"</f>
        <v>190817</v>
      </c>
      <c r="N715" t="str">
        <f>"19-0817"</f>
        <v>19-0817</v>
      </c>
      <c r="O715" t="str">
        <f>""</f>
        <v/>
      </c>
      <c r="P715" t="s">
        <v>267</v>
      </c>
      <c r="Q715" t="str">
        <f>""</f>
        <v/>
      </c>
      <c r="R715" t="s">
        <v>275</v>
      </c>
      <c r="T715" t="s">
        <v>276</v>
      </c>
      <c r="U715">
        <v>82</v>
      </c>
      <c r="V715" t="s">
        <v>267</v>
      </c>
      <c r="W715" t="s">
        <v>267</v>
      </c>
      <c r="X715" t="s">
        <v>224</v>
      </c>
    </row>
    <row r="716" spans="1:24">
      <c r="A716">
        <v>13529</v>
      </c>
      <c r="B716" t="s">
        <v>25</v>
      </c>
      <c r="C716" t="str">
        <f t="shared" si="23"/>
        <v>INTEGRA Saloon</v>
      </c>
      <c r="D716" t="str">
        <f t="shared" si="22"/>
        <v>1.6</v>
      </c>
      <c r="E716" t="s">
        <v>26</v>
      </c>
      <c r="F716">
        <v>198501</v>
      </c>
      <c r="G716">
        <v>199012</v>
      </c>
      <c r="H716">
        <v>74</v>
      </c>
      <c r="I716">
        <v>100</v>
      </c>
      <c r="J716">
        <v>1590</v>
      </c>
      <c r="K716">
        <v>211977</v>
      </c>
      <c r="L716" t="s">
        <v>274</v>
      </c>
      <c r="M716" t="str">
        <f>"190818"</f>
        <v>190818</v>
      </c>
      <c r="N716" t="str">
        <f>"19-0818"</f>
        <v>19-0818</v>
      </c>
      <c r="O716" t="str">
        <f>""</f>
        <v/>
      </c>
      <c r="P716" t="s">
        <v>267</v>
      </c>
      <c r="Q716" t="str">
        <f>""</f>
        <v/>
      </c>
      <c r="R716" t="s">
        <v>277</v>
      </c>
      <c r="T716" t="s">
        <v>278</v>
      </c>
      <c r="U716">
        <v>82</v>
      </c>
      <c r="V716" t="s">
        <v>267</v>
      </c>
      <c r="W716" t="s">
        <v>267</v>
      </c>
      <c r="X716" t="s">
        <v>224</v>
      </c>
    </row>
    <row r="717" spans="1:24">
      <c r="A717">
        <v>13529</v>
      </c>
      <c r="B717" t="s">
        <v>25</v>
      </c>
      <c r="C717" t="str">
        <f t="shared" si="23"/>
        <v>INTEGRA Saloon</v>
      </c>
      <c r="D717" t="str">
        <f t="shared" si="22"/>
        <v>1.6</v>
      </c>
      <c r="E717" t="s">
        <v>26</v>
      </c>
      <c r="F717">
        <v>198501</v>
      </c>
      <c r="G717">
        <v>199012</v>
      </c>
      <c r="H717">
        <v>74</v>
      </c>
      <c r="I717">
        <v>100</v>
      </c>
      <c r="J717">
        <v>1590</v>
      </c>
      <c r="K717">
        <v>211984</v>
      </c>
      <c r="L717" t="s">
        <v>274</v>
      </c>
      <c r="M717" t="str">
        <f>"190838"</f>
        <v>190838</v>
      </c>
      <c r="N717" t="str">
        <f>"19-0838"</f>
        <v>19-0838</v>
      </c>
      <c r="O717" t="str">
        <f>""</f>
        <v/>
      </c>
      <c r="P717" t="s">
        <v>267</v>
      </c>
      <c r="Q717" t="str">
        <f>""</f>
        <v/>
      </c>
      <c r="R717" t="s">
        <v>279</v>
      </c>
      <c r="T717" s="1" t="s">
        <v>280</v>
      </c>
      <c r="U717">
        <v>82</v>
      </c>
      <c r="V717" t="s">
        <v>267</v>
      </c>
      <c r="W717" t="s">
        <v>267</v>
      </c>
      <c r="X717" t="s">
        <v>224</v>
      </c>
    </row>
    <row r="718" spans="1:24">
      <c r="A718">
        <v>13529</v>
      </c>
      <c r="B718" t="s">
        <v>25</v>
      </c>
      <c r="C718" t="str">
        <f t="shared" si="23"/>
        <v>INTEGRA Saloon</v>
      </c>
      <c r="D718" t="str">
        <f t="shared" si="22"/>
        <v>1.6</v>
      </c>
      <c r="E718" t="s">
        <v>26</v>
      </c>
      <c r="F718">
        <v>198501</v>
      </c>
      <c r="G718">
        <v>199012</v>
      </c>
      <c r="H718">
        <v>74</v>
      </c>
      <c r="I718">
        <v>100</v>
      </c>
      <c r="J718">
        <v>1590</v>
      </c>
      <c r="K718">
        <v>304779</v>
      </c>
      <c r="L718" t="s">
        <v>247</v>
      </c>
      <c r="M718" t="str">
        <f>"BD0104"</f>
        <v>BD0104</v>
      </c>
      <c r="N718" t="str">
        <f>"BD0104"</f>
        <v>BD0104</v>
      </c>
      <c r="O718" t="str">
        <f>""</f>
        <v/>
      </c>
      <c r="P718" t="s">
        <v>267</v>
      </c>
      <c r="Q718" t="str">
        <f>""</f>
        <v/>
      </c>
      <c r="R718" t="s">
        <v>281</v>
      </c>
      <c r="S718" t="s">
        <v>282</v>
      </c>
      <c r="T718" s="1" t="s">
        <v>283</v>
      </c>
      <c r="U718">
        <v>82</v>
      </c>
      <c r="V718" t="s">
        <v>267</v>
      </c>
      <c r="W718" t="s">
        <v>267</v>
      </c>
      <c r="X718" t="s">
        <v>224</v>
      </c>
    </row>
    <row r="719" spans="1:24">
      <c r="A719">
        <v>13529</v>
      </c>
      <c r="B719" t="s">
        <v>25</v>
      </c>
      <c r="C719" t="str">
        <f t="shared" si="23"/>
        <v>INTEGRA Saloon</v>
      </c>
      <c r="D719" t="str">
        <f t="shared" si="22"/>
        <v>1.6</v>
      </c>
      <c r="E719" t="s">
        <v>26</v>
      </c>
      <c r="F719">
        <v>198501</v>
      </c>
      <c r="G719">
        <v>199012</v>
      </c>
      <c r="H719">
        <v>74</v>
      </c>
      <c r="I719">
        <v>100</v>
      </c>
      <c r="J719">
        <v>1590</v>
      </c>
      <c r="K719">
        <v>332234</v>
      </c>
      <c r="L719" t="s">
        <v>239</v>
      </c>
      <c r="M719" t="str">
        <f>"DF104"</f>
        <v>DF104</v>
      </c>
      <c r="N719" t="str">
        <f>"DF104"</f>
        <v>DF104</v>
      </c>
      <c r="O719" t="str">
        <f>""</f>
        <v/>
      </c>
      <c r="P719" t="s">
        <v>267</v>
      </c>
      <c r="Q719" t="str">
        <f>""</f>
        <v/>
      </c>
      <c r="R719" t="s">
        <v>281</v>
      </c>
      <c r="S719" t="s">
        <v>282</v>
      </c>
      <c r="T719" s="1" t="s">
        <v>283</v>
      </c>
      <c r="U719">
        <v>82</v>
      </c>
      <c r="V719" t="s">
        <v>267</v>
      </c>
      <c r="W719" t="s">
        <v>267</v>
      </c>
      <c r="X719" t="s">
        <v>224</v>
      </c>
    </row>
    <row r="720" spans="1:24">
      <c r="A720">
        <v>13529</v>
      </c>
      <c r="B720" t="s">
        <v>25</v>
      </c>
      <c r="C720" t="str">
        <f t="shared" si="23"/>
        <v>INTEGRA Saloon</v>
      </c>
      <c r="D720" t="str">
        <f t="shared" si="22"/>
        <v>1.6</v>
      </c>
      <c r="E720" t="s">
        <v>26</v>
      </c>
      <c r="F720">
        <v>198501</v>
      </c>
      <c r="G720">
        <v>199012</v>
      </c>
      <c r="H720">
        <v>74</v>
      </c>
      <c r="I720">
        <v>100</v>
      </c>
      <c r="J720">
        <v>1590</v>
      </c>
      <c r="K720">
        <v>483649</v>
      </c>
      <c r="L720" t="s">
        <v>1311</v>
      </c>
      <c r="M720" t="str">
        <f>"604406640"</f>
        <v>604406640</v>
      </c>
      <c r="N720" t="str">
        <f>"604-40-6640"</f>
        <v>604-40-6640</v>
      </c>
      <c r="O720" t="str">
        <f>""</f>
        <v/>
      </c>
      <c r="P720" t="s">
        <v>267</v>
      </c>
      <c r="Q720" t="str">
        <f>"5901159069540"</f>
        <v>5901159069540</v>
      </c>
      <c r="R720" t="s">
        <v>1312</v>
      </c>
      <c r="T720" s="1" t="s">
        <v>1313</v>
      </c>
      <c r="U720">
        <v>82</v>
      </c>
      <c r="V720" t="s">
        <v>267</v>
      </c>
      <c r="W720" t="s">
        <v>267</v>
      </c>
      <c r="X720" t="s">
        <v>224</v>
      </c>
    </row>
    <row r="721" spans="1:24">
      <c r="A721">
        <v>13529</v>
      </c>
      <c r="B721" t="s">
        <v>25</v>
      </c>
      <c r="C721" t="str">
        <f t="shared" si="23"/>
        <v>INTEGRA Saloon</v>
      </c>
      <c r="D721" t="str">
        <f t="shared" si="22"/>
        <v>1.6</v>
      </c>
      <c r="E721" t="s">
        <v>26</v>
      </c>
      <c r="F721">
        <v>198501</v>
      </c>
      <c r="G721">
        <v>199012</v>
      </c>
      <c r="H721">
        <v>74</v>
      </c>
      <c r="I721">
        <v>100</v>
      </c>
      <c r="J721">
        <v>1590</v>
      </c>
      <c r="K721">
        <v>557318</v>
      </c>
      <c r="L721" t="s">
        <v>285</v>
      </c>
      <c r="M721" t="str">
        <f>"562016S"</f>
        <v>562016S</v>
      </c>
      <c r="N721" t="str">
        <f>"562016S"</f>
        <v>562016S</v>
      </c>
      <c r="O721" t="str">
        <f>""</f>
        <v/>
      </c>
      <c r="P721" t="s">
        <v>267</v>
      </c>
      <c r="Q721" t="str">
        <f>"3306437250054"</f>
        <v>3306437250054</v>
      </c>
      <c r="R721" t="s">
        <v>286</v>
      </c>
      <c r="S721" t="s">
        <v>287</v>
      </c>
      <c r="T721" s="1" t="s">
        <v>345</v>
      </c>
      <c r="U721">
        <v>82</v>
      </c>
      <c r="V721" t="s">
        <v>267</v>
      </c>
      <c r="W721" t="s">
        <v>267</v>
      </c>
      <c r="X721" t="s">
        <v>224</v>
      </c>
    </row>
    <row r="722" spans="1:24">
      <c r="A722">
        <v>13529</v>
      </c>
      <c r="B722" t="s">
        <v>25</v>
      </c>
      <c r="C722" t="str">
        <f t="shared" si="23"/>
        <v>INTEGRA Saloon</v>
      </c>
      <c r="D722" t="str">
        <f t="shared" si="22"/>
        <v>1.6</v>
      </c>
      <c r="E722" t="s">
        <v>26</v>
      </c>
      <c r="F722">
        <v>198501</v>
      </c>
      <c r="G722">
        <v>199012</v>
      </c>
      <c r="H722">
        <v>74</v>
      </c>
      <c r="I722">
        <v>100</v>
      </c>
      <c r="J722">
        <v>1590</v>
      </c>
      <c r="K722">
        <v>655146</v>
      </c>
      <c r="L722" t="s">
        <v>149</v>
      </c>
      <c r="M722" t="str">
        <f>"B130092"</f>
        <v>B130092</v>
      </c>
      <c r="N722" t="str">
        <f>"B130092"</f>
        <v>B130092</v>
      </c>
      <c r="O722" t="str">
        <f>""</f>
        <v/>
      </c>
      <c r="P722" t="s">
        <v>267</v>
      </c>
      <c r="Q722" t="str">
        <f>"5901225727916"</f>
        <v>5901225727916</v>
      </c>
      <c r="R722" t="s">
        <v>1314</v>
      </c>
      <c r="T722" s="1" t="s">
        <v>1315</v>
      </c>
      <c r="U722">
        <v>82</v>
      </c>
      <c r="V722" t="s">
        <v>267</v>
      </c>
      <c r="W722" t="s">
        <v>267</v>
      </c>
      <c r="X722" t="s">
        <v>224</v>
      </c>
    </row>
    <row r="723" spans="1:24">
      <c r="A723">
        <v>13529</v>
      </c>
      <c r="B723" t="s">
        <v>25</v>
      </c>
      <c r="C723" t="str">
        <f t="shared" si="23"/>
        <v>INTEGRA Saloon</v>
      </c>
      <c r="D723" t="str">
        <f t="shared" si="22"/>
        <v>1.6</v>
      </c>
      <c r="E723" t="s">
        <v>26</v>
      </c>
      <c r="F723">
        <v>198501</v>
      </c>
      <c r="G723">
        <v>199012</v>
      </c>
      <c r="H723">
        <v>74</v>
      </c>
      <c r="I723">
        <v>100</v>
      </c>
      <c r="J723">
        <v>1590</v>
      </c>
      <c r="K723">
        <v>655150</v>
      </c>
      <c r="L723" t="s">
        <v>149</v>
      </c>
      <c r="M723" t="str">
        <f>"B130096"</f>
        <v>B130096</v>
      </c>
      <c r="N723" t="str">
        <f>"B130096"</f>
        <v>B130096</v>
      </c>
      <c r="O723" t="str">
        <f>""</f>
        <v/>
      </c>
      <c r="P723" t="s">
        <v>267</v>
      </c>
      <c r="Q723" t="str">
        <f>"5901225727954"</f>
        <v>5901225727954</v>
      </c>
      <c r="R723" t="s">
        <v>289</v>
      </c>
      <c r="T723" s="1" t="s">
        <v>1316</v>
      </c>
      <c r="U723">
        <v>82</v>
      </c>
      <c r="V723" t="s">
        <v>267</v>
      </c>
      <c r="W723" t="s">
        <v>267</v>
      </c>
      <c r="X723" t="s">
        <v>224</v>
      </c>
    </row>
    <row r="724" spans="1:24">
      <c r="A724">
        <v>13529</v>
      </c>
      <c r="B724" t="s">
        <v>25</v>
      </c>
      <c r="C724" t="str">
        <f t="shared" si="23"/>
        <v>INTEGRA Saloon</v>
      </c>
      <c r="D724" t="str">
        <f t="shared" si="22"/>
        <v>1.6</v>
      </c>
      <c r="E724" t="s">
        <v>26</v>
      </c>
      <c r="F724">
        <v>198501</v>
      </c>
      <c r="G724">
        <v>199012</v>
      </c>
      <c r="H724">
        <v>74</v>
      </c>
      <c r="I724">
        <v>100</v>
      </c>
      <c r="J724">
        <v>1590</v>
      </c>
      <c r="K724">
        <v>761189</v>
      </c>
      <c r="L724" t="s">
        <v>51</v>
      </c>
      <c r="M724" t="str">
        <f>"HPD916"</f>
        <v>HPD916</v>
      </c>
      <c r="N724" t="str">
        <f>"HPD 916"</f>
        <v>HPD 916</v>
      </c>
      <c r="O724" t="str">
        <f>"ref. IB: HHO 14 1V"</f>
        <v>ref. IB: HHO 14 1V</v>
      </c>
      <c r="P724" t="s">
        <v>267</v>
      </c>
      <c r="Q724" t="str">
        <f>"8029172003789"</f>
        <v>8029172003789</v>
      </c>
      <c r="R724" t="s">
        <v>291</v>
      </c>
      <c r="S724" t="s">
        <v>292</v>
      </c>
      <c r="T724" s="1" t="s">
        <v>293</v>
      </c>
      <c r="U724">
        <v>82</v>
      </c>
      <c r="V724" t="s">
        <v>267</v>
      </c>
      <c r="W724" t="s">
        <v>267</v>
      </c>
      <c r="X724" t="s">
        <v>224</v>
      </c>
    </row>
    <row r="725" spans="1:24">
      <c r="A725">
        <v>13529</v>
      </c>
      <c r="B725" t="s">
        <v>25</v>
      </c>
      <c r="C725" t="str">
        <f t="shared" si="23"/>
        <v>INTEGRA Saloon</v>
      </c>
      <c r="D725" t="str">
        <f t="shared" si="22"/>
        <v>1.6</v>
      </c>
      <c r="E725" t="s">
        <v>26</v>
      </c>
      <c r="F725">
        <v>198501</v>
      </c>
      <c r="G725">
        <v>199012</v>
      </c>
      <c r="H725">
        <v>74</v>
      </c>
      <c r="I725">
        <v>100</v>
      </c>
      <c r="J725">
        <v>1590</v>
      </c>
      <c r="K725">
        <v>843413</v>
      </c>
      <c r="L725" t="s">
        <v>294</v>
      </c>
      <c r="M725" t="str">
        <f>"V305"</f>
        <v>V305</v>
      </c>
      <c r="N725" t="str">
        <f>"V305"</f>
        <v>V305</v>
      </c>
      <c r="O725" t="str">
        <f>""</f>
        <v/>
      </c>
      <c r="P725" t="s">
        <v>267</v>
      </c>
      <c r="Q725" t="str">
        <f>""</f>
        <v/>
      </c>
      <c r="R725" t="s">
        <v>295</v>
      </c>
      <c r="S725" t="s">
        <v>296</v>
      </c>
      <c r="T725" s="1" t="s">
        <v>297</v>
      </c>
      <c r="U725">
        <v>82</v>
      </c>
      <c r="V725" t="s">
        <v>267</v>
      </c>
      <c r="W725" t="s">
        <v>267</v>
      </c>
      <c r="X725" t="s">
        <v>224</v>
      </c>
    </row>
    <row r="726" spans="1:24">
      <c r="A726">
        <v>13529</v>
      </c>
      <c r="B726" t="s">
        <v>25</v>
      </c>
      <c r="C726" t="str">
        <f t="shared" si="23"/>
        <v>INTEGRA Saloon</v>
      </c>
      <c r="D726" t="str">
        <f t="shared" si="22"/>
        <v>1.6</v>
      </c>
      <c r="E726" t="s">
        <v>26</v>
      </c>
      <c r="F726">
        <v>198501</v>
      </c>
      <c r="G726">
        <v>199012</v>
      </c>
      <c r="H726">
        <v>74</v>
      </c>
      <c r="I726">
        <v>100</v>
      </c>
      <c r="J726">
        <v>1590</v>
      </c>
      <c r="K726">
        <v>895085</v>
      </c>
      <c r="L726" t="s">
        <v>298</v>
      </c>
      <c r="M726" t="str">
        <f>"370003"</f>
        <v>370003</v>
      </c>
      <c r="N726" t="str">
        <f>"37-0003"</f>
        <v>37-0003</v>
      </c>
      <c r="O726" t="str">
        <f>""</f>
        <v/>
      </c>
      <c r="P726" t="s">
        <v>267</v>
      </c>
      <c r="Q726" t="str">
        <f>""</f>
        <v/>
      </c>
      <c r="R726" s="1" t="s">
        <v>299</v>
      </c>
      <c r="S726" t="s">
        <v>300</v>
      </c>
      <c r="T726" s="1" t="s">
        <v>301</v>
      </c>
      <c r="U726">
        <v>82</v>
      </c>
      <c r="V726" t="s">
        <v>267</v>
      </c>
      <c r="W726" t="s">
        <v>267</v>
      </c>
      <c r="X726" t="s">
        <v>224</v>
      </c>
    </row>
    <row r="727" spans="1:24">
      <c r="A727">
        <v>13529</v>
      </c>
      <c r="B727" t="s">
        <v>25</v>
      </c>
      <c r="C727" t="str">
        <f t="shared" si="23"/>
        <v>INTEGRA Saloon</v>
      </c>
      <c r="D727" t="str">
        <f t="shared" si="22"/>
        <v>1.6</v>
      </c>
      <c r="E727" t="s">
        <v>26</v>
      </c>
      <c r="F727">
        <v>198501</v>
      </c>
      <c r="G727">
        <v>199012</v>
      </c>
      <c r="H727">
        <v>74</v>
      </c>
      <c r="I727">
        <v>100</v>
      </c>
      <c r="J727">
        <v>1590</v>
      </c>
      <c r="K727">
        <v>938474</v>
      </c>
      <c r="L727" t="s">
        <v>302</v>
      </c>
      <c r="M727" t="str">
        <f>"8510080000"</f>
        <v>8510080000</v>
      </c>
      <c r="N727" t="str">
        <f>"851008.0000"</f>
        <v>851008.0000</v>
      </c>
      <c r="O727" t="str">
        <f>""</f>
        <v/>
      </c>
      <c r="P727" t="s">
        <v>267</v>
      </c>
      <c r="Q727" t="str">
        <f>""</f>
        <v/>
      </c>
      <c r="R727" s="1" t="s">
        <v>303</v>
      </c>
      <c r="S727" t="s">
        <v>304</v>
      </c>
      <c r="T727" t="s">
        <v>305</v>
      </c>
      <c r="U727">
        <v>82</v>
      </c>
      <c r="V727" t="s">
        <v>267</v>
      </c>
      <c r="W727" t="s">
        <v>267</v>
      </c>
      <c r="X727" t="s">
        <v>224</v>
      </c>
    </row>
    <row r="728" spans="1:24">
      <c r="A728">
        <v>13529</v>
      </c>
      <c r="B728" t="s">
        <v>25</v>
      </c>
      <c r="C728" t="str">
        <f t="shared" si="23"/>
        <v>INTEGRA Saloon</v>
      </c>
      <c r="D728" t="str">
        <f t="shared" si="22"/>
        <v>1.6</v>
      </c>
      <c r="E728" t="s">
        <v>26</v>
      </c>
      <c r="F728">
        <v>198501</v>
      </c>
      <c r="G728">
        <v>199012</v>
      </c>
      <c r="H728">
        <v>74</v>
      </c>
      <c r="I728">
        <v>100</v>
      </c>
      <c r="J728">
        <v>1590</v>
      </c>
      <c r="K728">
        <v>938489</v>
      </c>
      <c r="L728" t="s">
        <v>302</v>
      </c>
      <c r="M728" t="str">
        <f>"8510540000"</f>
        <v>8510540000</v>
      </c>
      <c r="N728" t="str">
        <f>"851054.0000"</f>
        <v>851054.0000</v>
      </c>
      <c r="O728" t="str">
        <f>""</f>
        <v/>
      </c>
      <c r="P728" t="s">
        <v>267</v>
      </c>
      <c r="Q728" t="str">
        <f>""</f>
        <v/>
      </c>
      <c r="R728" s="1" t="s">
        <v>306</v>
      </c>
      <c r="S728" t="s">
        <v>307</v>
      </c>
      <c r="T728" t="s">
        <v>308</v>
      </c>
      <c r="U728">
        <v>82</v>
      </c>
      <c r="V728" t="s">
        <v>267</v>
      </c>
      <c r="W728" t="s">
        <v>267</v>
      </c>
      <c r="X728" t="s">
        <v>224</v>
      </c>
    </row>
    <row r="729" spans="1:24">
      <c r="A729">
        <v>13529</v>
      </c>
      <c r="B729" t="s">
        <v>25</v>
      </c>
      <c r="C729" t="str">
        <f t="shared" si="23"/>
        <v>INTEGRA Saloon</v>
      </c>
      <c r="D729" t="str">
        <f t="shared" si="22"/>
        <v>1.6</v>
      </c>
      <c r="E729" t="s">
        <v>26</v>
      </c>
      <c r="F729">
        <v>198501</v>
      </c>
      <c r="G729">
        <v>199012</v>
      </c>
      <c r="H729">
        <v>74</v>
      </c>
      <c r="I729">
        <v>100</v>
      </c>
      <c r="J729">
        <v>1590</v>
      </c>
      <c r="K729">
        <v>955137</v>
      </c>
      <c r="L729" t="s">
        <v>218</v>
      </c>
      <c r="M729" t="str">
        <f>"PRD2182"</f>
        <v>PRD2182</v>
      </c>
      <c r="N729" t="str">
        <f>"PRD2182"</f>
        <v>PRD2182</v>
      </c>
      <c r="O729" t="str">
        <f>""</f>
        <v/>
      </c>
      <c r="P729" t="s">
        <v>267</v>
      </c>
      <c r="Q729" t="str">
        <f>""</f>
        <v/>
      </c>
      <c r="R729" t="s">
        <v>309</v>
      </c>
      <c r="S729" t="s">
        <v>310</v>
      </c>
      <c r="T729" s="1" t="s">
        <v>311</v>
      </c>
      <c r="U729">
        <v>82</v>
      </c>
      <c r="V729" t="s">
        <v>267</v>
      </c>
      <c r="W729" t="s">
        <v>267</v>
      </c>
      <c r="X729" t="s">
        <v>224</v>
      </c>
    </row>
    <row r="730" spans="1:24">
      <c r="A730">
        <v>13529</v>
      </c>
      <c r="B730" t="s">
        <v>25</v>
      </c>
      <c r="C730" t="str">
        <f t="shared" si="23"/>
        <v>INTEGRA Saloon</v>
      </c>
      <c r="D730" t="str">
        <f t="shared" si="22"/>
        <v>1.6</v>
      </c>
      <c r="E730" t="s">
        <v>26</v>
      </c>
      <c r="F730">
        <v>198501</v>
      </c>
      <c r="G730">
        <v>199012</v>
      </c>
      <c r="H730">
        <v>74</v>
      </c>
      <c r="I730">
        <v>100</v>
      </c>
      <c r="J730">
        <v>1590</v>
      </c>
      <c r="K730">
        <v>958079</v>
      </c>
      <c r="L730" t="s">
        <v>218</v>
      </c>
      <c r="M730" t="str">
        <f>"PRD5174"</f>
        <v>PRD5174</v>
      </c>
      <c r="N730" t="str">
        <f>"PRD5174"</f>
        <v>PRD5174</v>
      </c>
      <c r="O730" t="str">
        <f>""</f>
        <v/>
      </c>
      <c r="P730" t="s">
        <v>267</v>
      </c>
      <c r="Q730" t="str">
        <f>""</f>
        <v/>
      </c>
      <c r="R730" t="s">
        <v>312</v>
      </c>
      <c r="S730" t="s">
        <v>221</v>
      </c>
      <c r="T730" t="s">
        <v>313</v>
      </c>
      <c r="U730">
        <v>82</v>
      </c>
      <c r="V730" t="s">
        <v>267</v>
      </c>
      <c r="W730" t="s">
        <v>267</v>
      </c>
      <c r="X730" t="s">
        <v>224</v>
      </c>
    </row>
    <row r="731" spans="1:24">
      <c r="A731">
        <v>13529</v>
      </c>
      <c r="B731" t="s">
        <v>25</v>
      </c>
      <c r="C731" t="str">
        <f t="shared" si="23"/>
        <v>INTEGRA Saloon</v>
      </c>
      <c r="D731" t="str">
        <f t="shared" si="22"/>
        <v>1.6</v>
      </c>
      <c r="E731" t="s">
        <v>26</v>
      </c>
      <c r="F731">
        <v>198501</v>
      </c>
      <c r="G731">
        <v>199012</v>
      </c>
      <c r="H731">
        <v>74</v>
      </c>
      <c r="I731">
        <v>100</v>
      </c>
      <c r="J731">
        <v>1590</v>
      </c>
      <c r="K731">
        <v>995288</v>
      </c>
      <c r="L731" t="s">
        <v>314</v>
      </c>
      <c r="M731" t="str">
        <f>"98291"</f>
        <v>98291</v>
      </c>
      <c r="N731" t="str">
        <f>"98291"</f>
        <v>98291</v>
      </c>
      <c r="O731" t="str">
        <f>""</f>
        <v/>
      </c>
      <c r="P731" t="s">
        <v>267</v>
      </c>
      <c r="Q731" t="str">
        <f>""</f>
        <v/>
      </c>
      <c r="R731" t="s">
        <v>315</v>
      </c>
      <c r="S731" t="s">
        <v>316</v>
      </c>
      <c r="T731" s="1" t="s">
        <v>317</v>
      </c>
      <c r="U731">
        <v>82</v>
      </c>
      <c r="V731" t="s">
        <v>267</v>
      </c>
      <c r="W731" t="s">
        <v>267</v>
      </c>
      <c r="X731" t="s">
        <v>224</v>
      </c>
    </row>
    <row r="732" spans="1:24">
      <c r="A732">
        <v>13529</v>
      </c>
      <c r="B732" t="s">
        <v>25</v>
      </c>
      <c r="C732" t="str">
        <f t="shared" si="23"/>
        <v>INTEGRA Saloon</v>
      </c>
      <c r="D732" t="str">
        <f t="shared" si="22"/>
        <v>1.6</v>
      </c>
      <c r="E732" t="s">
        <v>26</v>
      </c>
      <c r="F732">
        <v>198501</v>
      </c>
      <c r="G732">
        <v>199012</v>
      </c>
      <c r="H732">
        <v>74</v>
      </c>
      <c r="I732">
        <v>100</v>
      </c>
      <c r="J732">
        <v>1590</v>
      </c>
      <c r="K732">
        <v>1100310</v>
      </c>
      <c r="L732" t="s">
        <v>318</v>
      </c>
      <c r="M732" t="str">
        <f>"24011701011"</f>
        <v>24011701011</v>
      </c>
      <c r="N732" t="str">
        <f>"24.0117-0101.1"</f>
        <v>24.0117-0101.1</v>
      </c>
      <c r="O732" t="str">
        <f>"417101"</f>
        <v>417101</v>
      </c>
      <c r="P732" t="s">
        <v>267</v>
      </c>
      <c r="Q732" t="str">
        <f>"4006633106054"</f>
        <v>4006633106054</v>
      </c>
      <c r="R732" s="1" t="s">
        <v>1317</v>
      </c>
      <c r="S732" t="s">
        <v>1318</v>
      </c>
      <c r="T732" s="1" t="s">
        <v>1319</v>
      </c>
      <c r="U732">
        <v>82</v>
      </c>
      <c r="V732" t="s">
        <v>267</v>
      </c>
      <c r="W732" t="s">
        <v>267</v>
      </c>
      <c r="X732" t="s">
        <v>224</v>
      </c>
    </row>
    <row r="733" spans="1:24">
      <c r="A733">
        <v>13529</v>
      </c>
      <c r="B733" t="s">
        <v>25</v>
      </c>
      <c r="C733" t="str">
        <f t="shared" si="23"/>
        <v>INTEGRA Saloon</v>
      </c>
      <c r="D733" t="str">
        <f t="shared" si="22"/>
        <v>1.6</v>
      </c>
      <c r="E733" t="s">
        <v>26</v>
      </c>
      <c r="F733">
        <v>198501</v>
      </c>
      <c r="G733">
        <v>199012</v>
      </c>
      <c r="H733">
        <v>74</v>
      </c>
      <c r="I733">
        <v>100</v>
      </c>
      <c r="J733">
        <v>1590</v>
      </c>
      <c r="K733">
        <v>1100365</v>
      </c>
      <c r="L733" t="s">
        <v>318</v>
      </c>
      <c r="M733" t="str">
        <f>"24011901061"</f>
        <v>24011901061</v>
      </c>
      <c r="N733" t="str">
        <f>"24.0119-0106.1"</f>
        <v>24.0119-0106.1</v>
      </c>
      <c r="O733" t="str">
        <f>"419106"</f>
        <v>419106</v>
      </c>
      <c r="P733" t="s">
        <v>267</v>
      </c>
      <c r="Q733" t="str">
        <f>"4006633116114"</f>
        <v>4006633116114</v>
      </c>
      <c r="R733" s="1" t="s">
        <v>319</v>
      </c>
      <c r="S733" t="s">
        <v>320</v>
      </c>
      <c r="T733" s="1" t="s">
        <v>321</v>
      </c>
      <c r="U733">
        <v>82</v>
      </c>
      <c r="V733" t="s">
        <v>267</v>
      </c>
      <c r="W733" t="s">
        <v>267</v>
      </c>
      <c r="X733" t="s">
        <v>224</v>
      </c>
    </row>
    <row r="734" spans="1:24">
      <c r="A734">
        <v>13529</v>
      </c>
      <c r="B734" t="s">
        <v>25</v>
      </c>
      <c r="C734" t="str">
        <f t="shared" si="23"/>
        <v>INTEGRA Saloon</v>
      </c>
      <c r="D734" t="str">
        <f t="shared" si="22"/>
        <v>1.6</v>
      </c>
      <c r="E734" t="s">
        <v>26</v>
      </c>
      <c r="F734">
        <v>198501</v>
      </c>
      <c r="G734">
        <v>199012</v>
      </c>
      <c r="H734">
        <v>74</v>
      </c>
      <c r="I734">
        <v>100</v>
      </c>
      <c r="J734">
        <v>1590</v>
      </c>
      <c r="K734">
        <v>1251530</v>
      </c>
      <c r="L734" t="s">
        <v>66</v>
      </c>
      <c r="M734" t="str">
        <f>"186435"</f>
        <v>186435</v>
      </c>
      <c r="N734" t="str">
        <f>"186435"</f>
        <v>186435</v>
      </c>
      <c r="O734" t="str">
        <f>""</f>
        <v/>
      </c>
      <c r="P734" t="s">
        <v>267</v>
      </c>
      <c r="Q734" t="str">
        <f>"3276421972258"</f>
        <v>3276421972258</v>
      </c>
      <c r="R734" s="1" t="s">
        <v>322</v>
      </c>
      <c r="T734" s="1" t="s">
        <v>1320</v>
      </c>
      <c r="U734">
        <v>82</v>
      </c>
      <c r="V734" t="s">
        <v>267</v>
      </c>
      <c r="W734" t="s">
        <v>267</v>
      </c>
      <c r="X734" t="s">
        <v>224</v>
      </c>
    </row>
    <row r="735" spans="1:24">
      <c r="A735">
        <v>13529</v>
      </c>
      <c r="B735" t="s">
        <v>25</v>
      </c>
      <c r="C735" t="str">
        <f t="shared" si="23"/>
        <v>INTEGRA Saloon</v>
      </c>
      <c r="D735" t="str">
        <f t="shared" si="22"/>
        <v>1.6</v>
      </c>
      <c r="E735" t="s">
        <v>26</v>
      </c>
      <c r="F735">
        <v>198501</v>
      </c>
      <c r="G735">
        <v>199012</v>
      </c>
      <c r="H735">
        <v>74</v>
      </c>
      <c r="I735">
        <v>100</v>
      </c>
      <c r="J735">
        <v>1590</v>
      </c>
      <c r="K735">
        <v>1678135</v>
      </c>
      <c r="L735" t="s">
        <v>225</v>
      </c>
      <c r="M735" t="str">
        <f>"561384J"</f>
        <v>561384J</v>
      </c>
      <c r="N735" t="str">
        <f>"561384J"</f>
        <v>561384J</v>
      </c>
      <c r="O735" t="str">
        <f>"561384"</f>
        <v>561384</v>
      </c>
      <c r="P735" t="s">
        <v>267</v>
      </c>
      <c r="Q735" t="str">
        <f>"3306435027733"</f>
        <v>3306435027733</v>
      </c>
      <c r="R735" t="s">
        <v>324</v>
      </c>
      <c r="T735" s="1" t="s">
        <v>325</v>
      </c>
      <c r="U735">
        <v>82</v>
      </c>
      <c r="V735" t="s">
        <v>267</v>
      </c>
      <c r="W735" t="s">
        <v>267</v>
      </c>
      <c r="X735" t="s">
        <v>224</v>
      </c>
    </row>
    <row r="736" spans="1:24">
      <c r="A736">
        <v>13529</v>
      </c>
      <c r="B736" t="s">
        <v>25</v>
      </c>
      <c r="C736" t="str">
        <f t="shared" si="23"/>
        <v>INTEGRA Saloon</v>
      </c>
      <c r="D736" t="str">
        <f t="shared" si="22"/>
        <v>1.6</v>
      </c>
      <c r="E736" t="s">
        <v>26</v>
      </c>
      <c r="F736">
        <v>198501</v>
      </c>
      <c r="G736">
        <v>199012</v>
      </c>
      <c r="H736">
        <v>74</v>
      </c>
      <c r="I736">
        <v>100</v>
      </c>
      <c r="J736">
        <v>1590</v>
      </c>
      <c r="K736">
        <v>1678136</v>
      </c>
      <c r="L736" t="s">
        <v>225</v>
      </c>
      <c r="M736" t="str">
        <f>"561384JC"</f>
        <v>561384JC</v>
      </c>
      <c r="N736" t="str">
        <f>"561384JC"</f>
        <v>561384JC</v>
      </c>
      <c r="O736" t="str">
        <f>"561384J"</f>
        <v>561384J</v>
      </c>
      <c r="P736" t="s">
        <v>267</v>
      </c>
      <c r="Q736" t="str">
        <f>"3306437207898"</f>
        <v>3306437207898</v>
      </c>
      <c r="R736" t="s">
        <v>326</v>
      </c>
      <c r="T736" t="s">
        <v>327</v>
      </c>
      <c r="U736">
        <v>82</v>
      </c>
      <c r="V736" t="s">
        <v>267</v>
      </c>
      <c r="W736" t="s">
        <v>267</v>
      </c>
      <c r="X736" t="s">
        <v>224</v>
      </c>
    </row>
    <row r="737" spans="1:24">
      <c r="A737">
        <v>13529</v>
      </c>
      <c r="B737" t="s">
        <v>25</v>
      </c>
      <c r="C737" t="str">
        <f t="shared" si="23"/>
        <v>INTEGRA Saloon</v>
      </c>
      <c r="D737" t="str">
        <f t="shared" si="22"/>
        <v>1.6</v>
      </c>
      <c r="E737" t="s">
        <v>26</v>
      </c>
      <c r="F737">
        <v>198501</v>
      </c>
      <c r="G737">
        <v>199012</v>
      </c>
      <c r="H737">
        <v>74</v>
      </c>
      <c r="I737">
        <v>100</v>
      </c>
      <c r="J737">
        <v>1590</v>
      </c>
      <c r="K737">
        <v>1678649</v>
      </c>
      <c r="L737" t="s">
        <v>225</v>
      </c>
      <c r="M737" t="str">
        <f>"562016J"</f>
        <v>562016J</v>
      </c>
      <c r="N737" t="str">
        <f>"562016J"</f>
        <v>562016J</v>
      </c>
      <c r="O737" t="str">
        <f>"562016"</f>
        <v>562016</v>
      </c>
      <c r="P737" t="s">
        <v>267</v>
      </c>
      <c r="Q737" t="str">
        <f>"3306437007948"</f>
        <v>3306437007948</v>
      </c>
      <c r="R737" t="s">
        <v>328</v>
      </c>
      <c r="S737" t="s">
        <v>287</v>
      </c>
      <c r="T737" s="1" t="s">
        <v>329</v>
      </c>
      <c r="U737">
        <v>82</v>
      </c>
      <c r="V737" t="s">
        <v>267</v>
      </c>
      <c r="W737" t="s">
        <v>267</v>
      </c>
      <c r="X737" t="s">
        <v>224</v>
      </c>
    </row>
    <row r="738" spans="1:24">
      <c r="A738">
        <v>13529</v>
      </c>
      <c r="B738" t="s">
        <v>25</v>
      </c>
      <c r="C738" t="str">
        <f t="shared" si="23"/>
        <v>INTEGRA Saloon</v>
      </c>
      <c r="D738" t="str">
        <f t="shared" si="22"/>
        <v>1.6</v>
      </c>
      <c r="E738" t="s">
        <v>26</v>
      </c>
      <c r="F738">
        <v>198501</v>
      </c>
      <c r="G738">
        <v>199012</v>
      </c>
      <c r="H738">
        <v>74</v>
      </c>
      <c r="I738">
        <v>100</v>
      </c>
      <c r="J738">
        <v>1590</v>
      </c>
      <c r="K738">
        <v>1678650</v>
      </c>
      <c r="L738" t="s">
        <v>225</v>
      </c>
      <c r="M738" t="str">
        <f>"562016JC"</f>
        <v>562016JC</v>
      </c>
      <c r="N738" t="str">
        <f>"562016JC"</f>
        <v>562016JC</v>
      </c>
      <c r="O738" t="str">
        <f>"562016J"</f>
        <v>562016J</v>
      </c>
      <c r="P738" t="s">
        <v>267</v>
      </c>
      <c r="Q738" t="str">
        <f>"3306437210294"</f>
        <v>3306437210294</v>
      </c>
      <c r="R738" t="s">
        <v>330</v>
      </c>
      <c r="S738" t="s">
        <v>287</v>
      </c>
      <c r="T738" t="s">
        <v>331</v>
      </c>
      <c r="U738">
        <v>82</v>
      </c>
      <c r="V738" t="s">
        <v>267</v>
      </c>
      <c r="W738" t="s">
        <v>267</v>
      </c>
      <c r="X738" t="s">
        <v>224</v>
      </c>
    </row>
    <row r="739" spans="1:24">
      <c r="A739">
        <v>13529</v>
      </c>
      <c r="B739" t="s">
        <v>25</v>
      </c>
      <c r="C739" t="str">
        <f t="shared" si="23"/>
        <v>INTEGRA Saloon</v>
      </c>
      <c r="D739" t="str">
        <f t="shared" si="22"/>
        <v>1.6</v>
      </c>
      <c r="E739" t="s">
        <v>26</v>
      </c>
      <c r="F739">
        <v>198501</v>
      </c>
      <c r="G739">
        <v>199012</v>
      </c>
      <c r="H739">
        <v>74</v>
      </c>
      <c r="I739">
        <v>100</v>
      </c>
      <c r="J739">
        <v>1590</v>
      </c>
      <c r="K739">
        <v>1692572</v>
      </c>
      <c r="L739" t="s">
        <v>332</v>
      </c>
      <c r="M739" t="str">
        <f>"561383B"</f>
        <v>561383B</v>
      </c>
      <c r="N739" t="str">
        <f>"561383B"</f>
        <v>561383B</v>
      </c>
      <c r="O739" t="str">
        <f>"561383"</f>
        <v>561383</v>
      </c>
      <c r="P739" t="s">
        <v>267</v>
      </c>
      <c r="Q739" t="str">
        <f>"3306434042843"</f>
        <v>3306434042843</v>
      </c>
      <c r="R739" t="s">
        <v>333</v>
      </c>
      <c r="S739" t="s">
        <v>334</v>
      </c>
      <c r="T739" s="1" t="s">
        <v>335</v>
      </c>
      <c r="U739">
        <v>82</v>
      </c>
      <c r="V739" t="s">
        <v>267</v>
      </c>
      <c r="W739" t="s">
        <v>267</v>
      </c>
      <c r="X739" t="s">
        <v>224</v>
      </c>
    </row>
    <row r="740" spans="1:24">
      <c r="A740">
        <v>13529</v>
      </c>
      <c r="B740" t="s">
        <v>25</v>
      </c>
      <c r="C740" t="str">
        <f t="shared" si="23"/>
        <v>INTEGRA Saloon</v>
      </c>
      <c r="D740" t="str">
        <f t="shared" si="22"/>
        <v>1.6</v>
      </c>
      <c r="E740" t="s">
        <v>26</v>
      </c>
      <c r="F740">
        <v>198501</v>
      </c>
      <c r="G740">
        <v>199012</v>
      </c>
      <c r="H740">
        <v>74</v>
      </c>
      <c r="I740">
        <v>100</v>
      </c>
      <c r="J740">
        <v>1590</v>
      </c>
      <c r="K740">
        <v>1692573</v>
      </c>
      <c r="L740" t="s">
        <v>332</v>
      </c>
      <c r="M740" t="str">
        <f>"561383BC"</f>
        <v>561383BC</v>
      </c>
      <c r="N740" t="str">
        <f>"561383BC"</f>
        <v>561383BC</v>
      </c>
      <c r="O740" t="str">
        <f>"561383B"</f>
        <v>561383B</v>
      </c>
      <c r="P740" t="s">
        <v>267</v>
      </c>
      <c r="Q740" t="str">
        <f>"3306437207867"</f>
        <v>3306437207867</v>
      </c>
      <c r="R740" t="s">
        <v>336</v>
      </c>
      <c r="S740" t="s">
        <v>334</v>
      </c>
      <c r="T740" s="1" t="s">
        <v>335</v>
      </c>
      <c r="U740">
        <v>82</v>
      </c>
      <c r="V740" t="s">
        <v>267</v>
      </c>
      <c r="W740" t="s">
        <v>267</v>
      </c>
      <c r="X740" t="s">
        <v>224</v>
      </c>
    </row>
    <row r="741" spans="1:24">
      <c r="A741">
        <v>13529</v>
      </c>
      <c r="B741" t="s">
        <v>25</v>
      </c>
      <c r="C741" t="str">
        <f t="shared" si="23"/>
        <v>INTEGRA Saloon</v>
      </c>
      <c r="D741" t="str">
        <f t="shared" si="22"/>
        <v>1.6</v>
      </c>
      <c r="E741" t="s">
        <v>26</v>
      </c>
      <c r="F741">
        <v>198501</v>
      </c>
      <c r="G741">
        <v>199012</v>
      </c>
      <c r="H741">
        <v>74</v>
      </c>
      <c r="I741">
        <v>100</v>
      </c>
      <c r="J741">
        <v>1590</v>
      </c>
      <c r="K741">
        <v>1692574</v>
      </c>
      <c r="L741" t="s">
        <v>332</v>
      </c>
      <c r="M741" t="str">
        <f>"561384B"</f>
        <v>561384B</v>
      </c>
      <c r="N741" t="str">
        <f>"561384B"</f>
        <v>561384B</v>
      </c>
      <c r="O741" t="str">
        <f>"561384"</f>
        <v>561384</v>
      </c>
      <c r="P741" t="s">
        <v>267</v>
      </c>
      <c r="Q741" t="str">
        <f>"3306434042850"</f>
        <v>3306434042850</v>
      </c>
      <c r="R741" t="s">
        <v>337</v>
      </c>
      <c r="S741" t="s">
        <v>338</v>
      </c>
      <c r="T741" s="1" t="s">
        <v>339</v>
      </c>
      <c r="U741">
        <v>82</v>
      </c>
      <c r="V741" t="s">
        <v>267</v>
      </c>
      <c r="W741" t="s">
        <v>267</v>
      </c>
      <c r="X741" t="s">
        <v>224</v>
      </c>
    </row>
    <row r="742" spans="1:24">
      <c r="A742">
        <v>13529</v>
      </c>
      <c r="B742" t="s">
        <v>25</v>
      </c>
      <c r="C742" t="str">
        <f t="shared" si="23"/>
        <v>INTEGRA Saloon</v>
      </c>
      <c r="D742" t="str">
        <f t="shared" si="22"/>
        <v>1.6</v>
      </c>
      <c r="E742" t="s">
        <v>26</v>
      </c>
      <c r="F742">
        <v>198501</v>
      </c>
      <c r="G742">
        <v>199012</v>
      </c>
      <c r="H742">
        <v>74</v>
      </c>
      <c r="I742">
        <v>100</v>
      </c>
      <c r="J742">
        <v>1590</v>
      </c>
      <c r="K742">
        <v>1692575</v>
      </c>
      <c r="L742" t="s">
        <v>332</v>
      </c>
      <c r="M742" t="str">
        <f>"561384BC"</f>
        <v>561384BC</v>
      </c>
      <c r="N742" t="str">
        <f>"561384BC"</f>
        <v>561384BC</v>
      </c>
      <c r="O742" t="str">
        <f>"561384B"</f>
        <v>561384B</v>
      </c>
      <c r="P742" t="s">
        <v>267</v>
      </c>
      <c r="Q742" t="str">
        <f>"3306437207881"</f>
        <v>3306437207881</v>
      </c>
      <c r="R742" t="s">
        <v>340</v>
      </c>
      <c r="S742" t="s">
        <v>338</v>
      </c>
      <c r="T742" s="1" t="s">
        <v>339</v>
      </c>
      <c r="U742">
        <v>82</v>
      </c>
      <c r="V742" t="s">
        <v>267</v>
      </c>
      <c r="W742" t="s">
        <v>267</v>
      </c>
      <c r="X742" t="s">
        <v>224</v>
      </c>
    </row>
    <row r="743" spans="1:24">
      <c r="A743">
        <v>13529</v>
      </c>
      <c r="B743" t="s">
        <v>25</v>
      </c>
      <c r="C743" t="str">
        <f t="shared" si="23"/>
        <v>INTEGRA Saloon</v>
      </c>
      <c r="D743" t="str">
        <f t="shared" si="22"/>
        <v>1.6</v>
      </c>
      <c r="E743" t="s">
        <v>26</v>
      </c>
      <c r="F743">
        <v>198501</v>
      </c>
      <c r="G743">
        <v>199012</v>
      </c>
      <c r="H743">
        <v>74</v>
      </c>
      <c r="I743">
        <v>100</v>
      </c>
      <c r="J743">
        <v>1590</v>
      </c>
      <c r="K743">
        <v>1693095</v>
      </c>
      <c r="L743" t="s">
        <v>332</v>
      </c>
      <c r="M743" t="str">
        <f>"562016B"</f>
        <v>562016B</v>
      </c>
      <c r="N743" t="str">
        <f>"562016B"</f>
        <v>562016B</v>
      </c>
      <c r="O743" t="str">
        <f>"562016"</f>
        <v>562016</v>
      </c>
      <c r="P743" t="s">
        <v>267</v>
      </c>
      <c r="Q743" t="str">
        <f>"3306430454633"</f>
        <v>3306430454633</v>
      </c>
      <c r="R743" t="s">
        <v>341</v>
      </c>
      <c r="S743" t="s">
        <v>342</v>
      </c>
      <c r="T743" s="1" t="s">
        <v>343</v>
      </c>
      <c r="U743">
        <v>82</v>
      </c>
      <c r="V743" t="s">
        <v>267</v>
      </c>
      <c r="W743" t="s">
        <v>267</v>
      </c>
      <c r="X743" t="s">
        <v>224</v>
      </c>
    </row>
    <row r="744" spans="1:24">
      <c r="A744">
        <v>13529</v>
      </c>
      <c r="B744" t="s">
        <v>25</v>
      </c>
      <c r="C744" t="str">
        <f t="shared" si="23"/>
        <v>INTEGRA Saloon</v>
      </c>
      <c r="D744" t="str">
        <f t="shared" si="22"/>
        <v>1.6</v>
      </c>
      <c r="E744" t="s">
        <v>26</v>
      </c>
      <c r="F744">
        <v>198501</v>
      </c>
      <c r="G744">
        <v>199012</v>
      </c>
      <c r="H744">
        <v>74</v>
      </c>
      <c r="I744">
        <v>100</v>
      </c>
      <c r="J744">
        <v>1590</v>
      </c>
      <c r="K744">
        <v>1693096</v>
      </c>
      <c r="L744" t="s">
        <v>332</v>
      </c>
      <c r="M744" t="str">
        <f>"562016BC"</f>
        <v>562016BC</v>
      </c>
      <c r="N744" t="str">
        <f>"562016BC"</f>
        <v>562016BC</v>
      </c>
      <c r="O744" t="str">
        <f>"562016B"</f>
        <v>562016B</v>
      </c>
      <c r="P744" t="s">
        <v>267</v>
      </c>
      <c r="Q744" t="str">
        <f>"3306437210287"</f>
        <v>3306437210287</v>
      </c>
      <c r="R744" t="s">
        <v>344</v>
      </c>
      <c r="S744" t="s">
        <v>342</v>
      </c>
      <c r="T744" s="1" t="s">
        <v>343</v>
      </c>
      <c r="U744">
        <v>82</v>
      </c>
      <c r="V744" t="s">
        <v>267</v>
      </c>
      <c r="W744" t="s">
        <v>267</v>
      </c>
      <c r="X744" t="s">
        <v>224</v>
      </c>
    </row>
    <row r="745" spans="1:24">
      <c r="A745">
        <v>13529</v>
      </c>
      <c r="B745" t="s">
        <v>25</v>
      </c>
      <c r="C745" t="str">
        <f t="shared" si="23"/>
        <v>INTEGRA Saloon</v>
      </c>
      <c r="D745" t="str">
        <f t="shared" si="22"/>
        <v>1.6</v>
      </c>
      <c r="E745" t="s">
        <v>26</v>
      </c>
      <c r="F745">
        <v>198501</v>
      </c>
      <c r="G745">
        <v>199012</v>
      </c>
      <c r="H745">
        <v>74</v>
      </c>
      <c r="I745">
        <v>100</v>
      </c>
      <c r="J745">
        <v>1590</v>
      </c>
      <c r="K745">
        <v>1811532</v>
      </c>
      <c r="L745" t="s">
        <v>228</v>
      </c>
      <c r="M745" t="str">
        <f>"DDF1358"</f>
        <v>DDF1358</v>
      </c>
      <c r="N745" t="str">
        <f>"DDF1358"</f>
        <v>DDF1358</v>
      </c>
      <c r="O745" t="str">
        <f>""</f>
        <v/>
      </c>
      <c r="P745" t="s">
        <v>267</v>
      </c>
      <c r="Q745" t="str">
        <f>"4044197335213"</f>
        <v>4044197335213</v>
      </c>
      <c r="R745" t="s">
        <v>286</v>
      </c>
      <c r="S745" t="s">
        <v>287</v>
      </c>
      <c r="T745" s="1" t="s">
        <v>345</v>
      </c>
      <c r="U745">
        <v>82</v>
      </c>
      <c r="V745" t="s">
        <v>267</v>
      </c>
      <c r="W745" t="s">
        <v>267</v>
      </c>
      <c r="X745" t="s">
        <v>224</v>
      </c>
    </row>
    <row r="746" spans="1:24">
      <c r="A746">
        <v>13529</v>
      </c>
      <c r="B746" t="s">
        <v>25</v>
      </c>
      <c r="C746" t="str">
        <f t="shared" si="23"/>
        <v>INTEGRA Saloon</v>
      </c>
      <c r="D746" t="str">
        <f t="shared" ref="D746:D809" si="24">"1.6"</f>
        <v>1.6</v>
      </c>
      <c r="E746" t="s">
        <v>26</v>
      </c>
      <c r="F746">
        <v>198501</v>
      </c>
      <c r="G746">
        <v>199012</v>
      </c>
      <c r="H746">
        <v>74</v>
      </c>
      <c r="I746">
        <v>100</v>
      </c>
      <c r="J746">
        <v>1590</v>
      </c>
      <c r="K746">
        <v>1811533</v>
      </c>
      <c r="L746" t="s">
        <v>228</v>
      </c>
      <c r="M746" t="str">
        <f>"DDF13581"</f>
        <v>DDF13581</v>
      </c>
      <c r="N746" t="str">
        <f>"DDF1358-1"</f>
        <v>DDF1358-1</v>
      </c>
      <c r="O746" t="str">
        <f>"DDF1358"</f>
        <v>DDF1358</v>
      </c>
      <c r="P746" t="s">
        <v>267</v>
      </c>
      <c r="Q746" t="str">
        <f>"4044197585960"</f>
        <v>4044197585960</v>
      </c>
      <c r="R746" t="s">
        <v>346</v>
      </c>
      <c r="S746" t="s">
        <v>287</v>
      </c>
      <c r="T746" s="1" t="s">
        <v>347</v>
      </c>
      <c r="U746">
        <v>82</v>
      </c>
      <c r="V746" t="s">
        <v>267</v>
      </c>
      <c r="W746" t="s">
        <v>267</v>
      </c>
      <c r="X746" t="s">
        <v>224</v>
      </c>
    </row>
    <row r="747" spans="1:24">
      <c r="A747">
        <v>13529</v>
      </c>
      <c r="B747" t="s">
        <v>25</v>
      </c>
      <c r="C747" t="str">
        <f t="shared" si="23"/>
        <v>INTEGRA Saloon</v>
      </c>
      <c r="D747" t="str">
        <f t="shared" si="24"/>
        <v>1.6</v>
      </c>
      <c r="E747" t="s">
        <v>26</v>
      </c>
      <c r="F747">
        <v>198501</v>
      </c>
      <c r="G747">
        <v>199012</v>
      </c>
      <c r="H747">
        <v>74</v>
      </c>
      <c r="I747">
        <v>100</v>
      </c>
      <c r="J747">
        <v>1590</v>
      </c>
      <c r="K747">
        <v>1813171</v>
      </c>
      <c r="L747" t="s">
        <v>228</v>
      </c>
      <c r="M747" t="str">
        <f>"DDF377"</f>
        <v>DDF377</v>
      </c>
      <c r="N747" t="str">
        <f>"DDF377"</f>
        <v>DDF377</v>
      </c>
      <c r="O747" t="str">
        <f>""</f>
        <v/>
      </c>
      <c r="P747" t="s">
        <v>267</v>
      </c>
      <c r="Q747" t="str">
        <f>"5016687137798"</f>
        <v>5016687137798</v>
      </c>
      <c r="R747" s="1" t="s">
        <v>348</v>
      </c>
      <c r="T747" s="1" t="s">
        <v>349</v>
      </c>
      <c r="U747">
        <v>82</v>
      </c>
      <c r="V747" t="s">
        <v>267</v>
      </c>
      <c r="W747" t="s">
        <v>267</v>
      </c>
      <c r="X747" t="s">
        <v>224</v>
      </c>
    </row>
    <row r="748" spans="1:24">
      <c r="A748">
        <v>13529</v>
      </c>
      <c r="B748" t="s">
        <v>25</v>
      </c>
      <c r="C748" t="str">
        <f t="shared" si="23"/>
        <v>INTEGRA Saloon</v>
      </c>
      <c r="D748" t="str">
        <f t="shared" si="24"/>
        <v>1.6</v>
      </c>
      <c r="E748" t="s">
        <v>26</v>
      </c>
      <c r="F748">
        <v>198501</v>
      </c>
      <c r="G748">
        <v>199012</v>
      </c>
      <c r="H748">
        <v>74</v>
      </c>
      <c r="I748">
        <v>100</v>
      </c>
      <c r="J748">
        <v>1590</v>
      </c>
      <c r="K748">
        <v>1813172</v>
      </c>
      <c r="L748" t="s">
        <v>228</v>
      </c>
      <c r="M748" t="str">
        <f>"DDF3771"</f>
        <v>DDF3771</v>
      </c>
      <c r="N748" t="str">
        <f>"DDF377-1"</f>
        <v>DDF377-1</v>
      </c>
      <c r="O748" t="str">
        <f>"DDF377"</f>
        <v>DDF377</v>
      </c>
      <c r="P748" t="s">
        <v>267</v>
      </c>
      <c r="Q748" t="str">
        <f>"5016687341690"</f>
        <v>5016687341690</v>
      </c>
      <c r="R748" s="1" t="s">
        <v>350</v>
      </c>
      <c r="T748" s="1" t="s">
        <v>351</v>
      </c>
      <c r="U748">
        <v>82</v>
      </c>
      <c r="V748" t="s">
        <v>267</v>
      </c>
      <c r="W748" t="s">
        <v>267</v>
      </c>
      <c r="X748" t="s">
        <v>224</v>
      </c>
    </row>
    <row r="749" spans="1:24">
      <c r="A749">
        <v>13529</v>
      </c>
      <c r="B749" t="s">
        <v>25</v>
      </c>
      <c r="C749" t="str">
        <f t="shared" si="23"/>
        <v>INTEGRA Saloon</v>
      </c>
      <c r="D749" t="str">
        <f t="shared" si="24"/>
        <v>1.6</v>
      </c>
      <c r="E749" t="s">
        <v>26</v>
      </c>
      <c r="F749">
        <v>198501</v>
      </c>
      <c r="G749">
        <v>199012</v>
      </c>
      <c r="H749">
        <v>74</v>
      </c>
      <c r="I749">
        <v>100</v>
      </c>
      <c r="J749">
        <v>1590</v>
      </c>
      <c r="K749">
        <v>1813778</v>
      </c>
      <c r="L749" t="s">
        <v>228</v>
      </c>
      <c r="M749" t="str">
        <f>"DDF785"</f>
        <v>DDF785</v>
      </c>
      <c r="N749" t="str">
        <f>"DDF785"</f>
        <v>DDF785</v>
      </c>
      <c r="O749" t="str">
        <f>""</f>
        <v/>
      </c>
      <c r="P749" t="s">
        <v>267</v>
      </c>
      <c r="Q749" t="str">
        <f>"5016687178593"</f>
        <v>5016687178593</v>
      </c>
      <c r="R749" t="s">
        <v>352</v>
      </c>
      <c r="S749" t="s">
        <v>353</v>
      </c>
      <c r="T749" s="1" t="s">
        <v>354</v>
      </c>
      <c r="U749">
        <v>82</v>
      </c>
      <c r="V749" t="s">
        <v>267</v>
      </c>
      <c r="W749" t="s">
        <v>267</v>
      </c>
      <c r="X749" t="s">
        <v>224</v>
      </c>
    </row>
    <row r="750" spans="1:24">
      <c r="A750">
        <v>13529</v>
      </c>
      <c r="B750" t="s">
        <v>25</v>
      </c>
      <c r="C750" t="str">
        <f t="shared" si="23"/>
        <v>INTEGRA Saloon</v>
      </c>
      <c r="D750" t="str">
        <f t="shared" si="24"/>
        <v>1.6</v>
      </c>
      <c r="E750" t="s">
        <v>26</v>
      </c>
      <c r="F750">
        <v>198501</v>
      </c>
      <c r="G750">
        <v>199012</v>
      </c>
      <c r="H750">
        <v>74</v>
      </c>
      <c r="I750">
        <v>100</v>
      </c>
      <c r="J750">
        <v>1590</v>
      </c>
      <c r="K750">
        <v>1813779</v>
      </c>
      <c r="L750" t="s">
        <v>228</v>
      </c>
      <c r="M750" t="str">
        <f>"DDF7851"</f>
        <v>DDF7851</v>
      </c>
      <c r="N750" t="str">
        <f>"DDF785-1"</f>
        <v>DDF785-1</v>
      </c>
      <c r="O750" t="str">
        <f>"DDF785"</f>
        <v>DDF785</v>
      </c>
      <c r="P750" t="s">
        <v>267</v>
      </c>
      <c r="Q750" t="str">
        <f>"4044197593620"</f>
        <v>4044197593620</v>
      </c>
      <c r="R750" t="s">
        <v>355</v>
      </c>
      <c r="S750" t="s">
        <v>353</v>
      </c>
      <c r="T750" s="1" t="s">
        <v>356</v>
      </c>
      <c r="U750">
        <v>82</v>
      </c>
      <c r="V750" t="s">
        <v>267</v>
      </c>
      <c r="W750" t="s">
        <v>267</v>
      </c>
      <c r="X750" t="s">
        <v>224</v>
      </c>
    </row>
    <row r="751" spans="1:24">
      <c r="A751">
        <v>13529</v>
      </c>
      <c r="B751" t="s">
        <v>25</v>
      </c>
      <c r="C751" t="str">
        <f t="shared" si="23"/>
        <v>INTEGRA Saloon</v>
      </c>
      <c r="D751" t="str">
        <f t="shared" si="24"/>
        <v>1.6</v>
      </c>
      <c r="E751" t="s">
        <v>26</v>
      </c>
      <c r="F751">
        <v>198501</v>
      </c>
      <c r="G751">
        <v>199012</v>
      </c>
      <c r="H751">
        <v>74</v>
      </c>
      <c r="I751">
        <v>100</v>
      </c>
      <c r="J751">
        <v>1590</v>
      </c>
      <c r="K751">
        <v>1885918</v>
      </c>
      <c r="L751" t="s">
        <v>231</v>
      </c>
      <c r="M751" t="str">
        <f>"09502310"</f>
        <v>09502310</v>
      </c>
      <c r="N751" t="str">
        <f>"09.5023.10"</f>
        <v>09.5023.10</v>
      </c>
      <c r="O751" t="str">
        <f>""</f>
        <v/>
      </c>
      <c r="P751" t="s">
        <v>267</v>
      </c>
      <c r="Q751" t="str">
        <f>"8020584502310"</f>
        <v>8020584502310</v>
      </c>
      <c r="R751" s="1" t="s">
        <v>357</v>
      </c>
      <c r="S751" t="s">
        <v>310</v>
      </c>
      <c r="T751" s="1" t="s">
        <v>358</v>
      </c>
      <c r="U751">
        <v>82</v>
      </c>
      <c r="V751" t="s">
        <v>267</v>
      </c>
      <c r="W751" t="s">
        <v>267</v>
      </c>
      <c r="X751" t="s">
        <v>224</v>
      </c>
    </row>
    <row r="752" spans="1:24">
      <c r="A752">
        <v>13529</v>
      </c>
      <c r="B752" t="s">
        <v>25</v>
      </c>
      <c r="C752" t="str">
        <f t="shared" si="23"/>
        <v>INTEGRA Saloon</v>
      </c>
      <c r="D752" t="str">
        <f t="shared" si="24"/>
        <v>1.6</v>
      </c>
      <c r="E752" t="s">
        <v>26</v>
      </c>
      <c r="F752">
        <v>198501</v>
      </c>
      <c r="G752">
        <v>199012</v>
      </c>
      <c r="H752">
        <v>74</v>
      </c>
      <c r="I752">
        <v>100</v>
      </c>
      <c r="J752">
        <v>1590</v>
      </c>
      <c r="K752">
        <v>2107057</v>
      </c>
      <c r="L752" t="s">
        <v>95</v>
      </c>
      <c r="M752" t="str">
        <f>"353611927240"</f>
        <v>353611927240</v>
      </c>
      <c r="N752" t="str">
        <f>"353611927240"</f>
        <v>353611927240</v>
      </c>
      <c r="O752" t="str">
        <f>"119272.4"</f>
        <v>119272.4</v>
      </c>
      <c r="P752" t="s">
        <v>267</v>
      </c>
      <c r="Q752" t="str">
        <f>"8001063414041"</f>
        <v>8001063414041</v>
      </c>
      <c r="R752" t="s">
        <v>359</v>
      </c>
      <c r="S752" t="s">
        <v>360</v>
      </c>
      <c r="T752" s="1" t="s">
        <v>361</v>
      </c>
      <c r="U752">
        <v>82</v>
      </c>
      <c r="V752" t="s">
        <v>267</v>
      </c>
      <c r="W752" t="s">
        <v>267</v>
      </c>
      <c r="X752" t="s">
        <v>224</v>
      </c>
    </row>
    <row r="753" spans="1:24">
      <c r="A753">
        <v>13529</v>
      </c>
      <c r="B753" t="s">
        <v>25</v>
      </c>
      <c r="C753" t="str">
        <f t="shared" si="23"/>
        <v>INTEGRA Saloon</v>
      </c>
      <c r="D753" t="str">
        <f t="shared" si="24"/>
        <v>1.6</v>
      </c>
      <c r="E753" t="s">
        <v>26</v>
      </c>
      <c r="F753">
        <v>198501</v>
      </c>
      <c r="G753">
        <v>199012</v>
      </c>
      <c r="H753">
        <v>74</v>
      </c>
      <c r="I753">
        <v>100</v>
      </c>
      <c r="J753">
        <v>1590</v>
      </c>
      <c r="K753">
        <v>2110691</v>
      </c>
      <c r="L753" t="s">
        <v>95</v>
      </c>
      <c r="M753" t="str">
        <f>"360406027700"</f>
        <v>360406027700</v>
      </c>
      <c r="N753" t="str">
        <f>"360406027700"</f>
        <v>360406027700</v>
      </c>
      <c r="O753" t="str">
        <f>"DF0277"</f>
        <v>DF0277</v>
      </c>
      <c r="P753" t="s">
        <v>267</v>
      </c>
      <c r="Q753" t="str">
        <f>"8001063561134"</f>
        <v>8001063561134</v>
      </c>
      <c r="R753" t="s">
        <v>362</v>
      </c>
      <c r="S753" t="s">
        <v>360</v>
      </c>
      <c r="T753" s="1" t="s">
        <v>363</v>
      </c>
      <c r="U753">
        <v>82</v>
      </c>
      <c r="V753" t="s">
        <v>267</v>
      </c>
      <c r="W753" t="s">
        <v>267</v>
      </c>
      <c r="X753" t="s">
        <v>224</v>
      </c>
    </row>
    <row r="754" spans="1:24">
      <c r="A754">
        <v>13529</v>
      </c>
      <c r="B754" t="s">
        <v>25</v>
      </c>
      <c r="C754" t="str">
        <f t="shared" si="23"/>
        <v>INTEGRA Saloon</v>
      </c>
      <c r="D754" t="str">
        <f t="shared" si="24"/>
        <v>1.6</v>
      </c>
      <c r="E754" t="s">
        <v>26</v>
      </c>
      <c r="F754">
        <v>198501</v>
      </c>
      <c r="G754">
        <v>199012</v>
      </c>
      <c r="H754">
        <v>74</v>
      </c>
      <c r="I754">
        <v>100</v>
      </c>
      <c r="J754">
        <v>1590</v>
      </c>
      <c r="K754">
        <v>2358368</v>
      </c>
      <c r="L754" t="s">
        <v>364</v>
      </c>
      <c r="M754" t="str">
        <f>"BS0830"</f>
        <v>BS0830</v>
      </c>
      <c r="N754" t="str">
        <f>"BS-0830"</f>
        <v>BS-0830</v>
      </c>
      <c r="O754" t="str">
        <f>""</f>
        <v/>
      </c>
      <c r="P754" t="s">
        <v>267</v>
      </c>
      <c r="Q754" t="str">
        <f>"4031185105064"</f>
        <v>4031185105064</v>
      </c>
      <c r="R754" t="s">
        <v>365</v>
      </c>
      <c r="S754" t="s">
        <v>366</v>
      </c>
      <c r="T754" s="1" t="s">
        <v>367</v>
      </c>
      <c r="U754">
        <v>82</v>
      </c>
      <c r="V754" t="s">
        <v>267</v>
      </c>
      <c r="W754" t="s">
        <v>267</v>
      </c>
      <c r="X754" t="s">
        <v>224</v>
      </c>
    </row>
    <row r="755" spans="1:24">
      <c r="A755">
        <v>13529</v>
      </c>
      <c r="B755" t="s">
        <v>25</v>
      </c>
      <c r="C755" t="str">
        <f t="shared" si="23"/>
        <v>INTEGRA Saloon</v>
      </c>
      <c r="D755" t="str">
        <f t="shared" si="24"/>
        <v>1.6</v>
      </c>
      <c r="E755" t="s">
        <v>26</v>
      </c>
      <c r="F755">
        <v>198501</v>
      </c>
      <c r="G755">
        <v>199012</v>
      </c>
      <c r="H755">
        <v>74</v>
      </c>
      <c r="I755">
        <v>100</v>
      </c>
      <c r="J755">
        <v>1590</v>
      </c>
      <c r="K755">
        <v>2358628</v>
      </c>
      <c r="L755" t="s">
        <v>364</v>
      </c>
      <c r="M755" t="str">
        <f>"BS3690"</f>
        <v>BS3690</v>
      </c>
      <c r="N755" t="str">
        <f>"BS-3690"</f>
        <v>BS-3690</v>
      </c>
      <c r="O755" t="str">
        <f>""</f>
        <v/>
      </c>
      <c r="P755" t="s">
        <v>267</v>
      </c>
      <c r="Q755" t="str">
        <f>"4031185106467"</f>
        <v>4031185106467</v>
      </c>
      <c r="R755" t="s">
        <v>368</v>
      </c>
      <c r="S755" t="s">
        <v>369</v>
      </c>
      <c r="T755" s="1" t="s">
        <v>370</v>
      </c>
      <c r="U755">
        <v>82</v>
      </c>
      <c r="V755" t="s">
        <v>267</v>
      </c>
      <c r="W755" t="s">
        <v>267</v>
      </c>
      <c r="X755" t="s">
        <v>224</v>
      </c>
    </row>
    <row r="756" spans="1:24">
      <c r="A756">
        <v>13529</v>
      </c>
      <c r="B756" t="s">
        <v>25</v>
      </c>
      <c r="C756" t="str">
        <f t="shared" si="23"/>
        <v>INTEGRA Saloon</v>
      </c>
      <c r="D756" t="str">
        <f t="shared" si="24"/>
        <v>1.6</v>
      </c>
      <c r="E756" t="s">
        <v>26</v>
      </c>
      <c r="F756">
        <v>198501</v>
      </c>
      <c r="G756">
        <v>199012</v>
      </c>
      <c r="H756">
        <v>74</v>
      </c>
      <c r="I756">
        <v>100</v>
      </c>
      <c r="J756">
        <v>1590</v>
      </c>
      <c r="K756">
        <v>2548503</v>
      </c>
      <c r="L756" t="s">
        <v>371</v>
      </c>
      <c r="M756" t="str">
        <f>"636910"</f>
        <v>636910</v>
      </c>
      <c r="N756" t="str">
        <f>"6369.10"</f>
        <v>6369.10</v>
      </c>
      <c r="O756" t="str">
        <f>"DSX636910"</f>
        <v>DSX636910</v>
      </c>
      <c r="P756" t="s">
        <v>267</v>
      </c>
      <c r="Q756" t="str">
        <f>"8427975403292"</f>
        <v>8427975403292</v>
      </c>
      <c r="R756" t="s">
        <v>372</v>
      </c>
      <c r="T756" s="1" t="s">
        <v>373</v>
      </c>
      <c r="U756">
        <v>82</v>
      </c>
      <c r="V756" t="s">
        <v>267</v>
      </c>
      <c r="W756" t="s">
        <v>267</v>
      </c>
      <c r="X756" t="s">
        <v>224</v>
      </c>
    </row>
    <row r="757" spans="1:24">
      <c r="A757">
        <v>13529</v>
      </c>
      <c r="B757" t="s">
        <v>25</v>
      </c>
      <c r="C757" t="str">
        <f t="shared" si="23"/>
        <v>INTEGRA Saloon</v>
      </c>
      <c r="D757" t="str">
        <f t="shared" si="24"/>
        <v>1.6</v>
      </c>
      <c r="E757" t="s">
        <v>26</v>
      </c>
      <c r="F757">
        <v>198501</v>
      </c>
      <c r="G757">
        <v>199012</v>
      </c>
      <c r="H757">
        <v>74</v>
      </c>
      <c r="I757">
        <v>100</v>
      </c>
      <c r="J757">
        <v>1590</v>
      </c>
      <c r="K757">
        <v>2553925</v>
      </c>
      <c r="L757" t="s">
        <v>374</v>
      </c>
      <c r="M757" t="str">
        <f>"636910"</f>
        <v>636910</v>
      </c>
      <c r="N757" t="str">
        <f>"6369.10"</f>
        <v>6369.10</v>
      </c>
      <c r="O757" t="str">
        <f>"DCA636910"</f>
        <v>DCA636910</v>
      </c>
      <c r="P757" t="s">
        <v>267</v>
      </c>
      <c r="Q757" t="str">
        <f>"8427975153296"</f>
        <v>8427975153296</v>
      </c>
      <c r="R757" t="s">
        <v>375</v>
      </c>
      <c r="T757" s="1" t="s">
        <v>376</v>
      </c>
      <c r="U757">
        <v>82</v>
      </c>
      <c r="V757" t="s">
        <v>267</v>
      </c>
      <c r="W757" t="s">
        <v>267</v>
      </c>
      <c r="X757" t="s">
        <v>224</v>
      </c>
    </row>
    <row r="758" spans="1:24">
      <c r="A758">
        <v>13529</v>
      </c>
      <c r="B758" t="s">
        <v>25</v>
      </c>
      <c r="C758" t="str">
        <f t="shared" si="23"/>
        <v>INTEGRA Saloon</v>
      </c>
      <c r="D758" t="str">
        <f t="shared" si="24"/>
        <v>1.6</v>
      </c>
      <c r="E758" t="s">
        <v>26</v>
      </c>
      <c r="F758">
        <v>198501</v>
      </c>
      <c r="G758">
        <v>199012</v>
      </c>
      <c r="H758">
        <v>74</v>
      </c>
      <c r="I758">
        <v>100</v>
      </c>
      <c r="J758">
        <v>1590</v>
      </c>
      <c r="K758">
        <v>2602242</v>
      </c>
      <c r="L758" t="s">
        <v>377</v>
      </c>
      <c r="M758" t="str">
        <f>"DF1963"</f>
        <v>DF1963</v>
      </c>
      <c r="N758" t="str">
        <f>"DF1963"</f>
        <v>DF1963</v>
      </c>
      <c r="O758" t="str">
        <f>""</f>
        <v/>
      </c>
      <c r="P758" t="s">
        <v>267</v>
      </c>
      <c r="Q758" t="str">
        <f>"3322936196303"</f>
        <v>3322936196303</v>
      </c>
      <c r="R758" s="1" t="s">
        <v>378</v>
      </c>
      <c r="S758" t="s">
        <v>316</v>
      </c>
      <c r="T758" s="1" t="s">
        <v>379</v>
      </c>
      <c r="U758">
        <v>82</v>
      </c>
      <c r="V758" t="s">
        <v>267</v>
      </c>
      <c r="W758" t="s">
        <v>267</v>
      </c>
      <c r="X758" t="s">
        <v>224</v>
      </c>
    </row>
    <row r="759" spans="1:24">
      <c r="A759">
        <v>13529</v>
      </c>
      <c r="B759" t="s">
        <v>25</v>
      </c>
      <c r="C759" t="str">
        <f t="shared" si="23"/>
        <v>INTEGRA Saloon</v>
      </c>
      <c r="D759" t="str">
        <f t="shared" si="24"/>
        <v>1.6</v>
      </c>
      <c r="E759" t="s">
        <v>26</v>
      </c>
      <c r="F759">
        <v>198501</v>
      </c>
      <c r="G759">
        <v>199012</v>
      </c>
      <c r="H759">
        <v>74</v>
      </c>
      <c r="I759">
        <v>100</v>
      </c>
      <c r="J759">
        <v>1590</v>
      </c>
      <c r="K759">
        <v>2602543</v>
      </c>
      <c r="L759" t="s">
        <v>377</v>
      </c>
      <c r="M759" t="str">
        <f>"DF4004"</f>
        <v>DF4004</v>
      </c>
      <c r="N759" t="str">
        <f>"DF4004"</f>
        <v>DF4004</v>
      </c>
      <c r="O759" t="str">
        <f>""</f>
        <v/>
      </c>
      <c r="P759" t="s">
        <v>267</v>
      </c>
      <c r="Q759" t="str">
        <f>"3322937200566"</f>
        <v>3322937200566</v>
      </c>
      <c r="R759" t="s">
        <v>380</v>
      </c>
      <c r="S759" t="s">
        <v>334</v>
      </c>
      <c r="T759" s="1" t="s">
        <v>381</v>
      </c>
      <c r="U759">
        <v>82</v>
      </c>
      <c r="V759" t="s">
        <v>267</v>
      </c>
      <c r="W759" t="s">
        <v>267</v>
      </c>
      <c r="X759" t="s">
        <v>224</v>
      </c>
    </row>
    <row r="760" spans="1:24">
      <c r="A760">
        <v>13529</v>
      </c>
      <c r="B760" t="s">
        <v>25</v>
      </c>
      <c r="C760" t="str">
        <f t="shared" si="23"/>
        <v>INTEGRA Saloon</v>
      </c>
      <c r="D760" t="str">
        <f t="shared" si="24"/>
        <v>1.6</v>
      </c>
      <c r="E760" t="s">
        <v>26</v>
      </c>
      <c r="F760">
        <v>198501</v>
      </c>
      <c r="G760">
        <v>199012</v>
      </c>
      <c r="H760">
        <v>74</v>
      </c>
      <c r="I760">
        <v>100</v>
      </c>
      <c r="J760">
        <v>1590</v>
      </c>
      <c r="K760">
        <v>2602706</v>
      </c>
      <c r="L760" t="s">
        <v>377</v>
      </c>
      <c r="M760" t="str">
        <f>"DF4191"</f>
        <v>DF4191</v>
      </c>
      <c r="N760" t="str">
        <f>"DF4191"</f>
        <v>DF4191</v>
      </c>
      <c r="O760" t="str">
        <f>""</f>
        <v/>
      </c>
      <c r="P760" t="s">
        <v>267</v>
      </c>
      <c r="Q760" t="str">
        <f>"3322937320899"</f>
        <v>3322937320899</v>
      </c>
      <c r="R760" s="1" t="s">
        <v>382</v>
      </c>
      <c r="S760" t="s">
        <v>342</v>
      </c>
      <c r="T760" s="1" t="s">
        <v>383</v>
      </c>
      <c r="U760">
        <v>82</v>
      </c>
      <c r="V760" t="s">
        <v>267</v>
      </c>
      <c r="W760" t="s">
        <v>267</v>
      </c>
      <c r="X760" t="s">
        <v>224</v>
      </c>
    </row>
    <row r="761" spans="1:24">
      <c r="A761">
        <v>13529</v>
      </c>
      <c r="B761" t="s">
        <v>25</v>
      </c>
      <c r="C761" t="str">
        <f t="shared" si="23"/>
        <v>INTEGRA Saloon</v>
      </c>
      <c r="D761" t="str">
        <f t="shared" si="24"/>
        <v>1.6</v>
      </c>
      <c r="E761" t="s">
        <v>26</v>
      </c>
      <c r="F761">
        <v>198501</v>
      </c>
      <c r="G761">
        <v>199012</v>
      </c>
      <c r="H761">
        <v>74</v>
      </c>
      <c r="I761">
        <v>100</v>
      </c>
      <c r="J761">
        <v>1590</v>
      </c>
      <c r="K761">
        <v>2644291</v>
      </c>
      <c r="L761" t="s">
        <v>106</v>
      </c>
      <c r="M761" t="str">
        <f>"V2680004"</f>
        <v>V2680004</v>
      </c>
      <c r="N761" t="str">
        <f>"V26-80004"</f>
        <v>V26-80004</v>
      </c>
      <c r="O761" t="str">
        <f>""</f>
        <v/>
      </c>
      <c r="P761" t="s">
        <v>267</v>
      </c>
      <c r="Q761" t="str">
        <f>"4046001469657"</f>
        <v>4046001469657</v>
      </c>
      <c r="R761" s="1" t="s">
        <v>1321</v>
      </c>
      <c r="S761" t="s">
        <v>1322</v>
      </c>
      <c r="T761" s="1" t="s">
        <v>1323</v>
      </c>
      <c r="U761">
        <v>82</v>
      </c>
      <c r="V761" t="s">
        <v>267</v>
      </c>
      <c r="W761" t="s">
        <v>267</v>
      </c>
      <c r="X761" t="s">
        <v>224</v>
      </c>
    </row>
    <row r="762" spans="1:24">
      <c r="A762">
        <v>13529</v>
      </c>
      <c r="B762" t="s">
        <v>25</v>
      </c>
      <c r="C762" t="str">
        <f t="shared" si="23"/>
        <v>INTEGRA Saloon</v>
      </c>
      <c r="D762" t="str">
        <f t="shared" si="24"/>
        <v>1.6</v>
      </c>
      <c r="E762" t="s">
        <v>26</v>
      </c>
      <c r="F762">
        <v>198501</v>
      </c>
      <c r="G762">
        <v>199012</v>
      </c>
      <c r="H762">
        <v>74</v>
      </c>
      <c r="I762">
        <v>100</v>
      </c>
      <c r="J762">
        <v>1590</v>
      </c>
      <c r="K762">
        <v>2740628</v>
      </c>
      <c r="L762" t="s">
        <v>384</v>
      </c>
      <c r="M762" t="str">
        <f>"NBD059"</f>
        <v>NBD059</v>
      </c>
      <c r="N762" t="str">
        <f>"NBD059"</f>
        <v>NBD059</v>
      </c>
      <c r="O762" t="str">
        <f>""</f>
        <v/>
      </c>
      <c r="P762" t="s">
        <v>267</v>
      </c>
      <c r="Q762" t="str">
        <f>""</f>
        <v/>
      </c>
      <c r="R762" t="s">
        <v>1324</v>
      </c>
      <c r="S762" t="s">
        <v>1322</v>
      </c>
      <c r="T762" s="1" t="s">
        <v>1325</v>
      </c>
      <c r="U762">
        <v>82</v>
      </c>
      <c r="V762" t="s">
        <v>267</v>
      </c>
      <c r="W762" t="s">
        <v>267</v>
      </c>
      <c r="X762" t="s">
        <v>224</v>
      </c>
    </row>
    <row r="763" spans="1:24">
      <c r="A763">
        <v>13529</v>
      </c>
      <c r="B763" t="s">
        <v>25</v>
      </c>
      <c r="C763" t="str">
        <f t="shared" si="23"/>
        <v>INTEGRA Saloon</v>
      </c>
      <c r="D763" t="str">
        <f t="shared" si="24"/>
        <v>1.6</v>
      </c>
      <c r="E763" t="s">
        <v>26</v>
      </c>
      <c r="F763">
        <v>198501</v>
      </c>
      <c r="G763">
        <v>199012</v>
      </c>
      <c r="H763">
        <v>74</v>
      </c>
      <c r="I763">
        <v>100</v>
      </c>
      <c r="J763">
        <v>1590</v>
      </c>
      <c r="K763">
        <v>2741236</v>
      </c>
      <c r="L763" t="s">
        <v>384</v>
      </c>
      <c r="M763" t="str">
        <f>"NBD170"</f>
        <v>NBD170</v>
      </c>
      <c r="N763" t="str">
        <f>"NBD170"</f>
        <v>NBD170</v>
      </c>
      <c r="O763" t="str">
        <f>""</f>
        <v/>
      </c>
      <c r="P763" t="s">
        <v>267</v>
      </c>
      <c r="Q763" t="str">
        <f>""</f>
        <v/>
      </c>
      <c r="R763" t="s">
        <v>385</v>
      </c>
      <c r="S763" t="s">
        <v>296</v>
      </c>
      <c r="T763" s="1" t="s">
        <v>386</v>
      </c>
      <c r="U763">
        <v>82</v>
      </c>
      <c r="V763" t="s">
        <v>267</v>
      </c>
      <c r="W763" t="s">
        <v>267</v>
      </c>
      <c r="X763" t="s">
        <v>224</v>
      </c>
    </row>
    <row r="764" spans="1:24">
      <c r="A764">
        <v>13529</v>
      </c>
      <c r="B764" t="s">
        <v>25</v>
      </c>
      <c r="C764" t="str">
        <f t="shared" si="23"/>
        <v>INTEGRA Saloon</v>
      </c>
      <c r="D764" t="str">
        <f t="shared" si="24"/>
        <v>1.6</v>
      </c>
      <c r="E764" t="s">
        <v>26</v>
      </c>
      <c r="F764">
        <v>198501</v>
      </c>
      <c r="G764">
        <v>199012</v>
      </c>
      <c r="H764">
        <v>74</v>
      </c>
      <c r="I764">
        <v>100</v>
      </c>
      <c r="J764">
        <v>1590</v>
      </c>
      <c r="K764">
        <v>2993285</v>
      </c>
      <c r="L764" t="s">
        <v>242</v>
      </c>
      <c r="M764" t="str">
        <f>"WN1331"</f>
        <v>WN1331</v>
      </c>
      <c r="N764" t="str">
        <f>"WN1331"</f>
        <v>WN1331</v>
      </c>
      <c r="O764" t="str">
        <f>""</f>
        <v/>
      </c>
      <c r="P764" t="s">
        <v>267</v>
      </c>
      <c r="Q764" t="str">
        <f>"4044197405947"</f>
        <v>4044197405947</v>
      </c>
      <c r="R764" t="s">
        <v>387</v>
      </c>
      <c r="S764" t="s">
        <v>287</v>
      </c>
      <c r="T764" s="1" t="s">
        <v>388</v>
      </c>
      <c r="U764">
        <v>82</v>
      </c>
      <c r="V764" t="s">
        <v>267</v>
      </c>
      <c r="W764" t="s">
        <v>267</v>
      </c>
      <c r="X764" t="s">
        <v>224</v>
      </c>
    </row>
    <row r="765" spans="1:24">
      <c r="A765">
        <v>13529</v>
      </c>
      <c r="B765" t="s">
        <v>25</v>
      </c>
      <c r="C765" t="str">
        <f t="shared" si="23"/>
        <v>INTEGRA Saloon</v>
      </c>
      <c r="D765" t="str">
        <f t="shared" si="24"/>
        <v>1.6</v>
      </c>
      <c r="E765" t="s">
        <v>26</v>
      </c>
      <c r="F765">
        <v>198501</v>
      </c>
      <c r="G765">
        <v>199012</v>
      </c>
      <c r="H765">
        <v>74</v>
      </c>
      <c r="I765">
        <v>100</v>
      </c>
      <c r="J765">
        <v>1590</v>
      </c>
      <c r="K765">
        <v>2993721</v>
      </c>
      <c r="L765" t="s">
        <v>242</v>
      </c>
      <c r="M765" t="str">
        <f>"WN664"</f>
        <v>WN664</v>
      </c>
      <c r="N765" t="str">
        <f>"WN664"</f>
        <v>WN664</v>
      </c>
      <c r="O765" t="str">
        <f>""</f>
        <v/>
      </c>
      <c r="P765" t="s">
        <v>267</v>
      </c>
      <c r="Q765" t="str">
        <f>"8426345511698"</f>
        <v>8426345511698</v>
      </c>
      <c r="R765" s="1" t="s">
        <v>348</v>
      </c>
      <c r="T765" s="1" t="s">
        <v>389</v>
      </c>
      <c r="U765">
        <v>82</v>
      </c>
      <c r="V765" t="s">
        <v>267</v>
      </c>
      <c r="W765" t="s">
        <v>267</v>
      </c>
      <c r="X765" t="s">
        <v>224</v>
      </c>
    </row>
    <row r="766" spans="1:24">
      <c r="A766">
        <v>13529</v>
      </c>
      <c r="B766" t="s">
        <v>25</v>
      </c>
      <c r="C766" t="str">
        <f t="shared" si="23"/>
        <v>INTEGRA Saloon</v>
      </c>
      <c r="D766" t="str">
        <f t="shared" si="24"/>
        <v>1.6</v>
      </c>
      <c r="E766" t="s">
        <v>26</v>
      </c>
      <c r="F766">
        <v>198501</v>
      </c>
      <c r="G766">
        <v>199012</v>
      </c>
      <c r="H766">
        <v>74</v>
      </c>
      <c r="I766">
        <v>100</v>
      </c>
      <c r="J766">
        <v>1590</v>
      </c>
      <c r="K766">
        <v>2995292</v>
      </c>
      <c r="L766" t="s">
        <v>51</v>
      </c>
      <c r="M766" t="str">
        <f>"142916"</f>
        <v>142916</v>
      </c>
      <c r="N766" t="str">
        <f>"142.916"</f>
        <v>142.916</v>
      </c>
      <c r="O766" t="str">
        <f>"ref. IB: HO 14 1V"</f>
        <v>ref. IB: HO 14 1V</v>
      </c>
      <c r="P766" t="s">
        <v>267</v>
      </c>
      <c r="Q766" t="str">
        <f>"8029172016901"</f>
        <v>8029172016901</v>
      </c>
      <c r="R766" t="s">
        <v>390</v>
      </c>
      <c r="S766" t="s">
        <v>292</v>
      </c>
      <c r="T766" s="1" t="s">
        <v>293</v>
      </c>
      <c r="U766">
        <v>82</v>
      </c>
      <c r="V766" t="s">
        <v>267</v>
      </c>
      <c r="W766" t="s">
        <v>267</v>
      </c>
      <c r="X766" t="s">
        <v>224</v>
      </c>
    </row>
    <row r="767" spans="1:24">
      <c r="A767">
        <v>13529</v>
      </c>
      <c r="B767" t="s">
        <v>25</v>
      </c>
      <c r="C767" t="str">
        <f t="shared" si="23"/>
        <v>INTEGRA Saloon</v>
      </c>
      <c r="D767" t="str">
        <f t="shared" si="24"/>
        <v>1.6</v>
      </c>
      <c r="E767" t="s">
        <v>26</v>
      </c>
      <c r="F767">
        <v>198501</v>
      </c>
      <c r="G767">
        <v>199012</v>
      </c>
      <c r="H767">
        <v>74</v>
      </c>
      <c r="I767">
        <v>100</v>
      </c>
      <c r="J767">
        <v>1590</v>
      </c>
      <c r="K767">
        <v>3030120</v>
      </c>
      <c r="L767" t="s">
        <v>33</v>
      </c>
      <c r="M767" t="str">
        <f>"J3304019"</f>
        <v>J3304019</v>
      </c>
      <c r="N767" t="str">
        <f>"J3304019"</f>
        <v>J3304019</v>
      </c>
      <c r="O767" t="str">
        <f>""</f>
        <v/>
      </c>
      <c r="P767" t="s">
        <v>267</v>
      </c>
      <c r="Q767" t="str">
        <f>"8711768052010"</f>
        <v>8711768052010</v>
      </c>
      <c r="R767" t="s">
        <v>391</v>
      </c>
      <c r="S767" t="s">
        <v>392</v>
      </c>
      <c r="T767" s="1" t="s">
        <v>393</v>
      </c>
      <c r="U767">
        <v>82</v>
      </c>
      <c r="V767" t="s">
        <v>267</v>
      </c>
      <c r="W767" t="s">
        <v>267</v>
      </c>
      <c r="X767" t="s">
        <v>224</v>
      </c>
    </row>
    <row r="768" spans="1:24">
      <c r="A768">
        <v>13529</v>
      </c>
      <c r="B768" t="s">
        <v>25</v>
      </c>
      <c r="C768" t="str">
        <f t="shared" si="23"/>
        <v>INTEGRA Saloon</v>
      </c>
      <c r="D768" t="str">
        <f t="shared" si="24"/>
        <v>1.6</v>
      </c>
      <c r="E768" t="s">
        <v>26</v>
      </c>
      <c r="F768">
        <v>198501</v>
      </c>
      <c r="G768">
        <v>199012</v>
      </c>
      <c r="H768">
        <v>74</v>
      </c>
      <c r="I768">
        <v>100</v>
      </c>
      <c r="J768">
        <v>1590</v>
      </c>
      <c r="K768">
        <v>3030330</v>
      </c>
      <c r="L768" t="s">
        <v>33</v>
      </c>
      <c r="M768" t="str">
        <f>"J3314003"</f>
        <v>J3314003</v>
      </c>
      <c r="N768" t="str">
        <f>"J3314003"</f>
        <v>J3314003</v>
      </c>
      <c r="O768" t="str">
        <f>""</f>
        <v/>
      </c>
      <c r="P768" t="s">
        <v>267</v>
      </c>
      <c r="Q768" t="str">
        <f>"8711768053659"</f>
        <v>8711768053659</v>
      </c>
      <c r="R768" t="s">
        <v>1326</v>
      </c>
      <c r="S768" t="s">
        <v>1327</v>
      </c>
      <c r="T768" s="1" t="s">
        <v>1328</v>
      </c>
      <c r="U768">
        <v>82</v>
      </c>
      <c r="V768" t="s">
        <v>267</v>
      </c>
      <c r="W768" t="s">
        <v>267</v>
      </c>
      <c r="X768" t="s">
        <v>224</v>
      </c>
    </row>
    <row r="769" spans="1:24">
      <c r="A769">
        <v>13529</v>
      </c>
      <c r="B769" t="s">
        <v>25</v>
      </c>
      <c r="C769" t="str">
        <f t="shared" si="23"/>
        <v>INTEGRA Saloon</v>
      </c>
      <c r="D769" t="str">
        <f t="shared" si="24"/>
        <v>1.6</v>
      </c>
      <c r="E769" t="s">
        <v>26</v>
      </c>
      <c r="F769">
        <v>198501</v>
      </c>
      <c r="G769">
        <v>199012</v>
      </c>
      <c r="H769">
        <v>74</v>
      </c>
      <c r="I769">
        <v>100</v>
      </c>
      <c r="J769">
        <v>1590</v>
      </c>
      <c r="K769">
        <v>3203549</v>
      </c>
      <c r="L769" t="s">
        <v>394</v>
      </c>
      <c r="M769" t="str">
        <f>"TB215304"</f>
        <v>TB215304</v>
      </c>
      <c r="N769" t="str">
        <f>"TB215304"</f>
        <v>TB215304</v>
      </c>
      <c r="O769" t="str">
        <f>""</f>
        <v/>
      </c>
      <c r="P769" t="s">
        <v>267</v>
      </c>
      <c r="Q769" t="str">
        <f>""</f>
        <v/>
      </c>
      <c r="R769" t="s">
        <v>395</v>
      </c>
      <c r="T769" t="s">
        <v>396</v>
      </c>
      <c r="U769">
        <v>82</v>
      </c>
      <c r="V769" t="s">
        <v>267</v>
      </c>
      <c r="W769" t="s">
        <v>267</v>
      </c>
      <c r="X769" t="s">
        <v>224</v>
      </c>
    </row>
    <row r="770" spans="1:24">
      <c r="A770">
        <v>13529</v>
      </c>
      <c r="B770" t="s">
        <v>25</v>
      </c>
      <c r="C770" t="str">
        <f t="shared" ref="C770:C833" si="25">"INTEGRA Saloon"</f>
        <v>INTEGRA Saloon</v>
      </c>
      <c r="D770" t="str">
        <f t="shared" si="24"/>
        <v>1.6</v>
      </c>
      <c r="E770" t="s">
        <v>26</v>
      </c>
      <c r="F770">
        <v>198501</v>
      </c>
      <c r="G770">
        <v>199012</v>
      </c>
      <c r="H770">
        <v>74</v>
      </c>
      <c r="I770">
        <v>100</v>
      </c>
      <c r="J770">
        <v>1590</v>
      </c>
      <c r="K770">
        <v>3203823</v>
      </c>
      <c r="L770" t="s">
        <v>394</v>
      </c>
      <c r="M770" t="str">
        <f>"TB217305"</f>
        <v>TB217305</v>
      </c>
      <c r="N770" t="str">
        <f>"TB217305"</f>
        <v>TB217305</v>
      </c>
      <c r="O770" t="str">
        <f>""</f>
        <v/>
      </c>
      <c r="P770" t="s">
        <v>267</v>
      </c>
      <c r="Q770" t="str">
        <f>""</f>
        <v/>
      </c>
      <c r="R770" t="s">
        <v>397</v>
      </c>
      <c r="T770" t="s">
        <v>398</v>
      </c>
      <c r="U770">
        <v>82</v>
      </c>
      <c r="V770" t="s">
        <v>267</v>
      </c>
      <c r="W770" t="s">
        <v>267</v>
      </c>
      <c r="X770" t="s">
        <v>224</v>
      </c>
    </row>
    <row r="771" spans="1:24">
      <c r="A771">
        <v>13529</v>
      </c>
      <c r="B771" t="s">
        <v>25</v>
      </c>
      <c r="C771" t="str">
        <f t="shared" si="25"/>
        <v>INTEGRA Saloon</v>
      </c>
      <c r="D771" t="str">
        <f t="shared" si="24"/>
        <v>1.6</v>
      </c>
      <c r="E771" t="s">
        <v>26</v>
      </c>
      <c r="F771">
        <v>198501</v>
      </c>
      <c r="G771">
        <v>199012</v>
      </c>
      <c r="H771">
        <v>74</v>
      </c>
      <c r="I771">
        <v>100</v>
      </c>
      <c r="J771">
        <v>1590</v>
      </c>
      <c r="K771">
        <v>3203826</v>
      </c>
      <c r="L771" t="s">
        <v>394</v>
      </c>
      <c r="M771" t="str">
        <f>"TB217311"</f>
        <v>TB217311</v>
      </c>
      <c r="N771" t="str">
        <f>"TB217311"</f>
        <v>TB217311</v>
      </c>
      <c r="O771" t="str">
        <f>""</f>
        <v/>
      </c>
      <c r="P771" t="s">
        <v>267</v>
      </c>
      <c r="Q771" t="str">
        <f>""</f>
        <v/>
      </c>
      <c r="R771" t="s">
        <v>399</v>
      </c>
      <c r="T771" t="s">
        <v>400</v>
      </c>
      <c r="U771">
        <v>82</v>
      </c>
      <c r="V771" t="s">
        <v>267</v>
      </c>
      <c r="W771" t="s">
        <v>267</v>
      </c>
      <c r="X771" t="s">
        <v>224</v>
      </c>
    </row>
    <row r="772" spans="1:24">
      <c r="A772">
        <v>13529</v>
      </c>
      <c r="B772" t="s">
        <v>25</v>
      </c>
      <c r="C772" t="str">
        <f t="shared" si="25"/>
        <v>INTEGRA Saloon</v>
      </c>
      <c r="D772" t="str">
        <f t="shared" si="24"/>
        <v>1.6</v>
      </c>
      <c r="E772" t="s">
        <v>26</v>
      </c>
      <c r="F772">
        <v>198501</v>
      </c>
      <c r="G772">
        <v>199012</v>
      </c>
      <c r="H772">
        <v>74</v>
      </c>
      <c r="I772">
        <v>100</v>
      </c>
      <c r="J772">
        <v>1590</v>
      </c>
      <c r="K772">
        <v>3227005</v>
      </c>
      <c r="L772" t="s">
        <v>401</v>
      </c>
      <c r="M772" t="str">
        <f>"6019631"</f>
        <v>6019631</v>
      </c>
      <c r="N772" t="str">
        <f>"6019631"</f>
        <v>6019631</v>
      </c>
      <c r="O772" t="str">
        <f>""</f>
        <v/>
      </c>
      <c r="P772" t="s">
        <v>267</v>
      </c>
      <c r="Q772" t="str">
        <f>"3322937456741"</f>
        <v>3322937456741</v>
      </c>
      <c r="R772" s="1" t="s">
        <v>378</v>
      </c>
      <c r="S772" t="s">
        <v>316</v>
      </c>
      <c r="T772" s="1" t="s">
        <v>1329</v>
      </c>
      <c r="U772">
        <v>82</v>
      </c>
      <c r="V772" t="s">
        <v>267</v>
      </c>
      <c r="W772" t="s">
        <v>267</v>
      </c>
      <c r="X772" t="s">
        <v>224</v>
      </c>
    </row>
    <row r="773" spans="1:24">
      <c r="A773">
        <v>13529</v>
      </c>
      <c r="B773" t="s">
        <v>25</v>
      </c>
      <c r="C773" t="str">
        <f t="shared" si="25"/>
        <v>INTEGRA Saloon</v>
      </c>
      <c r="D773" t="str">
        <f t="shared" si="24"/>
        <v>1.6</v>
      </c>
      <c r="E773" t="s">
        <v>26</v>
      </c>
      <c r="F773">
        <v>198501</v>
      </c>
      <c r="G773">
        <v>199012</v>
      </c>
      <c r="H773">
        <v>74</v>
      </c>
      <c r="I773">
        <v>100</v>
      </c>
      <c r="J773">
        <v>1590</v>
      </c>
      <c r="K773">
        <v>3227370</v>
      </c>
      <c r="L773" t="s">
        <v>401</v>
      </c>
      <c r="M773" t="str">
        <f>"6041914"</f>
        <v>6041914</v>
      </c>
      <c r="N773" t="str">
        <f>"6041914"</f>
        <v>6041914</v>
      </c>
      <c r="O773" t="str">
        <f>""</f>
        <v/>
      </c>
      <c r="P773" t="s">
        <v>267</v>
      </c>
      <c r="Q773" t="str">
        <f>"3322937458608"</f>
        <v>3322937458608</v>
      </c>
      <c r="R773" s="1" t="s">
        <v>382</v>
      </c>
      <c r="S773" t="s">
        <v>342</v>
      </c>
      <c r="T773" s="1" t="s">
        <v>403</v>
      </c>
      <c r="U773">
        <v>82</v>
      </c>
      <c r="V773" t="s">
        <v>267</v>
      </c>
      <c r="W773" t="s">
        <v>267</v>
      </c>
      <c r="X773" t="s">
        <v>224</v>
      </c>
    </row>
    <row r="774" spans="1:24">
      <c r="A774">
        <v>13529</v>
      </c>
      <c r="B774" t="s">
        <v>25</v>
      </c>
      <c r="C774" t="str">
        <f t="shared" si="25"/>
        <v>INTEGRA Saloon</v>
      </c>
      <c r="D774" t="str">
        <f t="shared" si="24"/>
        <v>1.6</v>
      </c>
      <c r="E774" t="s">
        <v>26</v>
      </c>
      <c r="F774">
        <v>198501</v>
      </c>
      <c r="G774">
        <v>199012</v>
      </c>
      <c r="H774">
        <v>74</v>
      </c>
      <c r="I774">
        <v>100</v>
      </c>
      <c r="J774">
        <v>1590</v>
      </c>
      <c r="K774">
        <v>3232028</v>
      </c>
      <c r="L774" t="s">
        <v>404</v>
      </c>
      <c r="M774" t="str">
        <f>"24202"</f>
        <v>24202</v>
      </c>
      <c r="N774" t="str">
        <f>"24202"</f>
        <v>24202</v>
      </c>
      <c r="O774" t="str">
        <f>""</f>
        <v/>
      </c>
      <c r="P774" t="s">
        <v>267</v>
      </c>
      <c r="Q774" t="str">
        <f>"8020584242025"</f>
        <v>8020584242025</v>
      </c>
      <c r="R774" s="1" t="s">
        <v>405</v>
      </c>
      <c r="S774" t="s">
        <v>310</v>
      </c>
      <c r="T774" s="1" t="s">
        <v>406</v>
      </c>
      <c r="U774">
        <v>82</v>
      </c>
      <c r="V774" t="s">
        <v>267</v>
      </c>
      <c r="W774" t="s">
        <v>267</v>
      </c>
      <c r="X774" t="s">
        <v>224</v>
      </c>
    </row>
    <row r="775" spans="1:24">
      <c r="A775">
        <v>13529</v>
      </c>
      <c r="B775" t="s">
        <v>25</v>
      </c>
      <c r="C775" t="str">
        <f t="shared" si="25"/>
        <v>INTEGRA Saloon</v>
      </c>
      <c r="D775" t="str">
        <f t="shared" si="24"/>
        <v>1.6</v>
      </c>
      <c r="E775" t="s">
        <v>26</v>
      </c>
      <c r="F775">
        <v>198501</v>
      </c>
      <c r="G775">
        <v>199012</v>
      </c>
      <c r="H775">
        <v>74</v>
      </c>
      <c r="I775">
        <v>100</v>
      </c>
      <c r="J775">
        <v>1590</v>
      </c>
      <c r="K775">
        <v>3245167</v>
      </c>
      <c r="L775" t="s">
        <v>199</v>
      </c>
      <c r="M775" t="str">
        <f>"636910"</f>
        <v>636910</v>
      </c>
      <c r="N775" t="str">
        <f>"6369 10"</f>
        <v>6369 10</v>
      </c>
      <c r="O775" t="str">
        <f>""</f>
        <v/>
      </c>
      <c r="P775" t="s">
        <v>267</v>
      </c>
      <c r="Q775" t="str">
        <f>""</f>
        <v/>
      </c>
      <c r="R775" t="s">
        <v>375</v>
      </c>
      <c r="T775" s="1" t="s">
        <v>376</v>
      </c>
      <c r="U775">
        <v>82</v>
      </c>
      <c r="V775" t="s">
        <v>267</v>
      </c>
      <c r="W775" t="s">
        <v>267</v>
      </c>
      <c r="X775" t="s">
        <v>224</v>
      </c>
    </row>
    <row r="776" spans="1:24">
      <c r="A776">
        <v>13529</v>
      </c>
      <c r="B776" t="s">
        <v>25</v>
      </c>
      <c r="C776" t="str">
        <f t="shared" si="25"/>
        <v>INTEGRA Saloon</v>
      </c>
      <c r="D776" t="str">
        <f t="shared" si="24"/>
        <v>1.6</v>
      </c>
      <c r="E776" t="s">
        <v>26</v>
      </c>
      <c r="F776">
        <v>198501</v>
      </c>
      <c r="G776">
        <v>199012</v>
      </c>
      <c r="H776">
        <v>74</v>
      </c>
      <c r="I776">
        <v>100</v>
      </c>
      <c r="J776">
        <v>1590</v>
      </c>
      <c r="K776">
        <v>3285509</v>
      </c>
      <c r="L776" t="s">
        <v>407</v>
      </c>
      <c r="M776" t="str">
        <f>"BS7938"</f>
        <v>BS7938</v>
      </c>
      <c r="N776" t="str">
        <f>"BS 7938"</f>
        <v>BS 7938</v>
      </c>
      <c r="O776" t="str">
        <f>""</f>
        <v/>
      </c>
      <c r="P776" t="s">
        <v>267</v>
      </c>
      <c r="Q776" t="str">
        <f>"8020584979389"</f>
        <v>8020584979389</v>
      </c>
      <c r="R776" s="1" t="s">
        <v>408</v>
      </c>
      <c r="S776" t="s">
        <v>310</v>
      </c>
      <c r="T776" s="1" t="s">
        <v>409</v>
      </c>
      <c r="U776">
        <v>82</v>
      </c>
      <c r="V776" t="s">
        <v>267</v>
      </c>
      <c r="W776" t="s">
        <v>267</v>
      </c>
      <c r="X776" t="s">
        <v>224</v>
      </c>
    </row>
    <row r="777" spans="1:24">
      <c r="A777">
        <v>13529</v>
      </c>
      <c r="B777" t="s">
        <v>25</v>
      </c>
      <c r="C777" t="str">
        <f t="shared" si="25"/>
        <v>INTEGRA Saloon</v>
      </c>
      <c r="D777" t="str">
        <f t="shared" si="24"/>
        <v>1.6</v>
      </c>
      <c r="E777" t="s">
        <v>26</v>
      </c>
      <c r="F777">
        <v>198501</v>
      </c>
      <c r="G777">
        <v>199012</v>
      </c>
      <c r="H777">
        <v>74</v>
      </c>
      <c r="I777">
        <v>100</v>
      </c>
      <c r="J777">
        <v>1590</v>
      </c>
      <c r="K777">
        <v>3655922</v>
      </c>
      <c r="L777" t="s">
        <v>410</v>
      </c>
      <c r="M777" t="str">
        <f>"D636910"</f>
        <v>D636910</v>
      </c>
      <c r="N777" t="str">
        <f>"D6369.10"</f>
        <v>D6369.10</v>
      </c>
      <c r="O777" t="str">
        <f>"DSA636910"</f>
        <v>DSA636910</v>
      </c>
      <c r="P777" t="s">
        <v>267</v>
      </c>
      <c r="Q777" t="str">
        <f>"8427975403292"</f>
        <v>8427975403292</v>
      </c>
      <c r="R777" t="s">
        <v>372</v>
      </c>
      <c r="T777" s="1" t="s">
        <v>411</v>
      </c>
      <c r="U777">
        <v>82</v>
      </c>
      <c r="V777" t="s">
        <v>267</v>
      </c>
      <c r="W777" t="s">
        <v>267</v>
      </c>
      <c r="X777" t="s">
        <v>224</v>
      </c>
    </row>
    <row r="778" spans="1:24">
      <c r="A778">
        <v>13529</v>
      </c>
      <c r="B778" t="s">
        <v>25</v>
      </c>
      <c r="C778" t="str">
        <f t="shared" si="25"/>
        <v>INTEGRA Saloon</v>
      </c>
      <c r="D778" t="str">
        <f t="shared" si="24"/>
        <v>1.6</v>
      </c>
      <c r="E778" t="s">
        <v>26</v>
      </c>
      <c r="F778">
        <v>198501</v>
      </c>
      <c r="G778">
        <v>199012</v>
      </c>
      <c r="H778">
        <v>74</v>
      </c>
      <c r="I778">
        <v>100</v>
      </c>
      <c r="J778">
        <v>1590</v>
      </c>
      <c r="K778">
        <v>3708404</v>
      </c>
      <c r="L778" t="s">
        <v>412</v>
      </c>
      <c r="M778" t="str">
        <f>"DI952450"</f>
        <v>DI952450</v>
      </c>
      <c r="N778" t="str">
        <f>"DI952450"</f>
        <v>DI952450</v>
      </c>
      <c r="O778" t="str">
        <f>""</f>
        <v/>
      </c>
      <c r="P778" t="s">
        <v>267</v>
      </c>
      <c r="Q778" t="str">
        <f>""</f>
        <v/>
      </c>
      <c r="R778" t="s">
        <v>413</v>
      </c>
      <c r="S778" t="s">
        <v>316</v>
      </c>
      <c r="T778" s="1" t="s">
        <v>414</v>
      </c>
      <c r="U778">
        <v>82</v>
      </c>
      <c r="V778" t="s">
        <v>267</v>
      </c>
      <c r="W778" t="s">
        <v>267</v>
      </c>
      <c r="X778" t="s">
        <v>224</v>
      </c>
    </row>
    <row r="779" spans="1:24">
      <c r="A779">
        <v>13529</v>
      </c>
      <c r="B779" t="s">
        <v>25</v>
      </c>
      <c r="C779" t="str">
        <f t="shared" si="25"/>
        <v>INTEGRA Saloon</v>
      </c>
      <c r="D779" t="str">
        <f t="shared" si="24"/>
        <v>1.6</v>
      </c>
      <c r="E779" t="s">
        <v>26</v>
      </c>
      <c r="F779">
        <v>198501</v>
      </c>
      <c r="G779">
        <v>199012</v>
      </c>
      <c r="H779">
        <v>74</v>
      </c>
      <c r="I779">
        <v>100</v>
      </c>
      <c r="J779">
        <v>1590</v>
      </c>
      <c r="K779">
        <v>3708405</v>
      </c>
      <c r="L779" t="s">
        <v>412</v>
      </c>
      <c r="M779" t="str">
        <f>"DI952460"</f>
        <v>DI952460</v>
      </c>
      <c r="N779" t="str">
        <f>"DI952460"</f>
        <v>DI952460</v>
      </c>
      <c r="O779" t="str">
        <f>""</f>
        <v/>
      </c>
      <c r="P779" t="s">
        <v>267</v>
      </c>
      <c r="Q779" t="str">
        <f>"5050590204796"</f>
        <v>5050590204796</v>
      </c>
      <c r="R779" t="s">
        <v>415</v>
      </c>
      <c r="S779" t="s">
        <v>334</v>
      </c>
      <c r="T779" t="s">
        <v>416</v>
      </c>
      <c r="U779">
        <v>82</v>
      </c>
      <c r="V779" t="s">
        <v>267</v>
      </c>
      <c r="W779" t="s">
        <v>267</v>
      </c>
      <c r="X779" t="s">
        <v>224</v>
      </c>
    </row>
    <row r="780" spans="1:24">
      <c r="A780">
        <v>13529</v>
      </c>
      <c r="B780" t="s">
        <v>25</v>
      </c>
      <c r="C780" t="str">
        <f t="shared" si="25"/>
        <v>INTEGRA Saloon</v>
      </c>
      <c r="D780" t="str">
        <f t="shared" si="24"/>
        <v>1.6</v>
      </c>
      <c r="E780" t="s">
        <v>26</v>
      </c>
      <c r="F780">
        <v>198501</v>
      </c>
      <c r="G780">
        <v>199012</v>
      </c>
      <c r="H780">
        <v>74</v>
      </c>
      <c r="I780">
        <v>100</v>
      </c>
      <c r="J780">
        <v>1590</v>
      </c>
      <c r="K780">
        <v>3708691</v>
      </c>
      <c r="L780" t="s">
        <v>412</v>
      </c>
      <c r="M780" t="str">
        <f>"DI955373"</f>
        <v>DI955373</v>
      </c>
      <c r="N780" t="str">
        <f>"DI955373"</f>
        <v>DI955373</v>
      </c>
      <c r="O780" t="str">
        <f>""</f>
        <v/>
      </c>
      <c r="P780" t="s">
        <v>267</v>
      </c>
      <c r="Q780" t="str">
        <f>""</f>
        <v/>
      </c>
      <c r="R780" t="s">
        <v>417</v>
      </c>
      <c r="S780" t="s">
        <v>342</v>
      </c>
      <c r="T780" s="1" t="s">
        <v>418</v>
      </c>
      <c r="U780">
        <v>82</v>
      </c>
      <c r="V780" t="s">
        <v>267</v>
      </c>
      <c r="W780" t="s">
        <v>267</v>
      </c>
      <c r="X780" t="s">
        <v>224</v>
      </c>
    </row>
    <row r="781" spans="1:24">
      <c r="A781">
        <v>13529</v>
      </c>
      <c r="B781" t="s">
        <v>25</v>
      </c>
      <c r="C781" t="str">
        <f t="shared" si="25"/>
        <v>INTEGRA Saloon</v>
      </c>
      <c r="D781" t="str">
        <f t="shared" si="24"/>
        <v>1.6</v>
      </c>
      <c r="E781" t="s">
        <v>26</v>
      </c>
      <c r="F781">
        <v>198501</v>
      </c>
      <c r="G781">
        <v>199012</v>
      </c>
      <c r="H781">
        <v>74</v>
      </c>
      <c r="I781">
        <v>100</v>
      </c>
      <c r="J781">
        <v>1590</v>
      </c>
      <c r="K781">
        <v>3837763</v>
      </c>
      <c r="L781" t="s">
        <v>419</v>
      </c>
      <c r="M781" t="str">
        <f>"ADC0510"</f>
        <v>ADC0510</v>
      </c>
      <c r="N781" t="str">
        <f>"ADC0510"</f>
        <v>ADC0510</v>
      </c>
      <c r="O781" t="str">
        <f>""</f>
        <v/>
      </c>
      <c r="P781" t="s">
        <v>267</v>
      </c>
      <c r="Q781" t="str">
        <f>""</f>
        <v/>
      </c>
      <c r="R781" s="1" t="s">
        <v>420</v>
      </c>
      <c r="S781" t="s">
        <v>421</v>
      </c>
      <c r="T781" s="1" t="s">
        <v>422</v>
      </c>
      <c r="U781">
        <v>82</v>
      </c>
      <c r="V781" t="s">
        <v>267</v>
      </c>
      <c r="W781" t="s">
        <v>267</v>
      </c>
      <c r="X781" t="s">
        <v>224</v>
      </c>
    </row>
    <row r="782" spans="1:24">
      <c r="A782">
        <v>13529</v>
      </c>
      <c r="B782" t="s">
        <v>25</v>
      </c>
      <c r="C782" t="str">
        <f t="shared" si="25"/>
        <v>INTEGRA Saloon</v>
      </c>
      <c r="D782" t="str">
        <f t="shared" si="24"/>
        <v>1.6</v>
      </c>
      <c r="E782" t="s">
        <v>26</v>
      </c>
      <c r="F782">
        <v>198501</v>
      </c>
      <c r="G782">
        <v>199012</v>
      </c>
      <c r="H782">
        <v>74</v>
      </c>
      <c r="I782">
        <v>100</v>
      </c>
      <c r="J782">
        <v>1590</v>
      </c>
      <c r="K782">
        <v>3963695</v>
      </c>
      <c r="L782" t="s">
        <v>27</v>
      </c>
      <c r="M782" t="str">
        <f>"H03507"</f>
        <v>H03507</v>
      </c>
      <c r="N782" t="str">
        <f>"H035-07"</f>
        <v>H035-07</v>
      </c>
      <c r="O782" t="str">
        <f>""</f>
        <v/>
      </c>
      <c r="P782" t="s">
        <v>267</v>
      </c>
      <c r="Q782" t="str">
        <f>"8718993206065"</f>
        <v>8718993206065</v>
      </c>
      <c r="R782" s="1" t="s">
        <v>423</v>
      </c>
      <c r="S782" t="s">
        <v>424</v>
      </c>
      <c r="T782" s="1" t="s">
        <v>425</v>
      </c>
      <c r="U782">
        <v>82</v>
      </c>
      <c r="V782" t="s">
        <v>267</v>
      </c>
      <c r="W782" t="s">
        <v>267</v>
      </c>
      <c r="X782" t="s">
        <v>224</v>
      </c>
    </row>
    <row r="783" spans="1:24">
      <c r="A783">
        <v>13529</v>
      </c>
      <c r="B783" t="s">
        <v>25</v>
      </c>
      <c r="C783" t="str">
        <f t="shared" si="25"/>
        <v>INTEGRA Saloon</v>
      </c>
      <c r="D783" t="str">
        <f t="shared" si="24"/>
        <v>1.6</v>
      </c>
      <c r="E783" t="s">
        <v>26</v>
      </c>
      <c r="F783">
        <v>198501</v>
      </c>
      <c r="G783">
        <v>199012</v>
      </c>
      <c r="H783">
        <v>74</v>
      </c>
      <c r="I783">
        <v>100</v>
      </c>
      <c r="J783">
        <v>1590</v>
      </c>
      <c r="K783">
        <v>3963729</v>
      </c>
      <c r="L783" t="s">
        <v>27</v>
      </c>
      <c r="M783" t="str">
        <f>"H03901"</f>
        <v>H03901</v>
      </c>
      <c r="N783" t="str">
        <f>"H039-01"</f>
        <v>H039-01</v>
      </c>
      <c r="O783" t="str">
        <f>""</f>
        <v/>
      </c>
      <c r="P783" t="s">
        <v>267</v>
      </c>
      <c r="Q783" t="str">
        <f>"8718993206669"</f>
        <v>8718993206669</v>
      </c>
      <c r="R783" s="1" t="s">
        <v>1330</v>
      </c>
      <c r="S783" t="s">
        <v>1331</v>
      </c>
      <c r="T783" s="1" t="s">
        <v>1332</v>
      </c>
      <c r="U783">
        <v>82</v>
      </c>
      <c r="V783" t="s">
        <v>267</v>
      </c>
      <c r="W783" t="s">
        <v>267</v>
      </c>
      <c r="X783" t="s">
        <v>224</v>
      </c>
    </row>
    <row r="784" spans="1:24">
      <c r="A784">
        <v>13529</v>
      </c>
      <c r="B784" t="s">
        <v>25</v>
      </c>
      <c r="C784" t="str">
        <f t="shared" si="25"/>
        <v>INTEGRA Saloon</v>
      </c>
      <c r="D784" t="str">
        <f t="shared" si="24"/>
        <v>1.6</v>
      </c>
      <c r="E784" t="s">
        <v>26</v>
      </c>
      <c r="F784">
        <v>198501</v>
      </c>
      <c r="G784">
        <v>199012</v>
      </c>
      <c r="H784">
        <v>74</v>
      </c>
      <c r="I784">
        <v>100</v>
      </c>
      <c r="J784">
        <v>1590</v>
      </c>
      <c r="K784">
        <v>4051288</v>
      </c>
      <c r="L784" t="s">
        <v>426</v>
      </c>
      <c r="M784" t="str">
        <f>"6281496"</f>
        <v>6281496</v>
      </c>
      <c r="N784" t="str">
        <f>"628.1496"</f>
        <v>628.1496</v>
      </c>
      <c r="O784" t="str">
        <f>""</f>
        <v/>
      </c>
      <c r="P784" t="s">
        <v>267</v>
      </c>
      <c r="Q784" t="str">
        <f>"8432509048382"</f>
        <v>8432509048382</v>
      </c>
      <c r="R784" s="1" t="s">
        <v>427</v>
      </c>
      <c r="S784" t="s">
        <v>310</v>
      </c>
      <c r="T784" s="1" t="s">
        <v>358</v>
      </c>
      <c r="U784">
        <v>82</v>
      </c>
      <c r="V784" t="s">
        <v>267</v>
      </c>
      <c r="W784" t="s">
        <v>267</v>
      </c>
      <c r="X784" t="s">
        <v>224</v>
      </c>
    </row>
    <row r="785" spans="1:24">
      <c r="A785">
        <v>13529</v>
      </c>
      <c r="B785" t="s">
        <v>25</v>
      </c>
      <c r="C785" t="str">
        <f t="shared" si="25"/>
        <v>INTEGRA Saloon</v>
      </c>
      <c r="D785" t="str">
        <f t="shared" si="24"/>
        <v>1.6</v>
      </c>
      <c r="E785" t="s">
        <v>26</v>
      </c>
      <c r="F785">
        <v>198501</v>
      </c>
      <c r="G785">
        <v>199012</v>
      </c>
      <c r="H785">
        <v>74</v>
      </c>
      <c r="I785">
        <v>100</v>
      </c>
      <c r="J785">
        <v>1590</v>
      </c>
      <c r="K785">
        <v>4099016</v>
      </c>
      <c r="L785" t="s">
        <v>1119</v>
      </c>
      <c r="M785" t="str">
        <f>"BBD4007"</f>
        <v>BBD4007</v>
      </c>
      <c r="N785" t="str">
        <f>"BBD4007"</f>
        <v>BBD4007</v>
      </c>
      <c r="O785" t="str">
        <f>""</f>
        <v/>
      </c>
      <c r="P785" t="s">
        <v>267</v>
      </c>
      <c r="Q785" t="str">
        <f>""</f>
        <v/>
      </c>
      <c r="R785" t="s">
        <v>1333</v>
      </c>
      <c r="S785" t="s">
        <v>1334</v>
      </c>
      <c r="T785" s="1" t="s">
        <v>1335</v>
      </c>
      <c r="U785">
        <v>82</v>
      </c>
      <c r="V785" t="s">
        <v>267</v>
      </c>
      <c r="W785" t="s">
        <v>267</v>
      </c>
      <c r="X785" t="s">
        <v>224</v>
      </c>
    </row>
    <row r="786" spans="1:24">
      <c r="A786">
        <v>13529</v>
      </c>
      <c r="B786" t="s">
        <v>25</v>
      </c>
      <c r="C786" t="str">
        <f t="shared" si="25"/>
        <v>INTEGRA Saloon</v>
      </c>
      <c r="D786" t="str">
        <f t="shared" si="24"/>
        <v>1.6</v>
      </c>
      <c r="E786" t="s">
        <v>26</v>
      </c>
      <c r="F786">
        <v>198501</v>
      </c>
      <c r="G786">
        <v>199012</v>
      </c>
      <c r="H786">
        <v>74</v>
      </c>
      <c r="I786">
        <v>100</v>
      </c>
      <c r="J786">
        <v>1590</v>
      </c>
      <c r="K786">
        <v>4199259</v>
      </c>
      <c r="L786" t="s">
        <v>255</v>
      </c>
      <c r="M786" t="str">
        <f>"C34019ABE"</f>
        <v>C34019ABE</v>
      </c>
      <c r="N786" t="str">
        <f>"C34019ABE"</f>
        <v>C34019ABE</v>
      </c>
      <c r="O786" t="str">
        <f>""</f>
        <v/>
      </c>
      <c r="P786" t="s">
        <v>267</v>
      </c>
      <c r="Q786" t="str">
        <f>""</f>
        <v/>
      </c>
      <c r="R786" t="s">
        <v>428</v>
      </c>
      <c r="S786" t="s">
        <v>429</v>
      </c>
      <c r="T786" s="1" t="s">
        <v>430</v>
      </c>
      <c r="U786">
        <v>82</v>
      </c>
      <c r="V786" t="s">
        <v>267</v>
      </c>
      <c r="W786" t="s">
        <v>267</v>
      </c>
      <c r="X786" t="s">
        <v>224</v>
      </c>
    </row>
    <row r="787" spans="1:24">
      <c r="A787">
        <v>13529</v>
      </c>
      <c r="B787" t="s">
        <v>25</v>
      </c>
      <c r="C787" t="str">
        <f t="shared" si="25"/>
        <v>INTEGRA Saloon</v>
      </c>
      <c r="D787" t="str">
        <f t="shared" si="24"/>
        <v>1.6</v>
      </c>
      <c r="E787" t="s">
        <v>26</v>
      </c>
      <c r="F787">
        <v>198501</v>
      </c>
      <c r="G787">
        <v>199012</v>
      </c>
      <c r="H787">
        <v>74</v>
      </c>
      <c r="I787">
        <v>100</v>
      </c>
      <c r="J787">
        <v>1590</v>
      </c>
      <c r="K787">
        <v>4199264</v>
      </c>
      <c r="L787" t="s">
        <v>255</v>
      </c>
      <c r="M787" t="str">
        <f>"C34026ABE"</f>
        <v>C34026ABE</v>
      </c>
      <c r="N787" t="str">
        <f>"C34026ABE"</f>
        <v>C34026ABE</v>
      </c>
      <c r="O787" t="str">
        <f>""</f>
        <v/>
      </c>
      <c r="P787" t="s">
        <v>267</v>
      </c>
      <c r="Q787" t="str">
        <f>""</f>
        <v/>
      </c>
      <c r="R787" t="s">
        <v>431</v>
      </c>
      <c r="S787" t="s">
        <v>432</v>
      </c>
      <c r="T787" s="1" t="s">
        <v>433</v>
      </c>
      <c r="U787">
        <v>82</v>
      </c>
      <c r="V787" t="s">
        <v>267</v>
      </c>
      <c r="W787" t="s">
        <v>267</v>
      </c>
      <c r="X787" t="s">
        <v>224</v>
      </c>
    </row>
    <row r="788" spans="1:24">
      <c r="A788">
        <v>13529</v>
      </c>
      <c r="B788" t="s">
        <v>25</v>
      </c>
      <c r="C788" t="str">
        <f t="shared" si="25"/>
        <v>INTEGRA Saloon</v>
      </c>
      <c r="D788" t="str">
        <f t="shared" si="24"/>
        <v>1.6</v>
      </c>
      <c r="E788" t="s">
        <v>26</v>
      </c>
      <c r="F788">
        <v>198501</v>
      </c>
      <c r="G788">
        <v>199012</v>
      </c>
      <c r="H788">
        <v>74</v>
      </c>
      <c r="I788">
        <v>100</v>
      </c>
      <c r="J788">
        <v>1590</v>
      </c>
      <c r="K788">
        <v>4199852</v>
      </c>
      <c r="L788" t="s">
        <v>255</v>
      </c>
      <c r="M788" t="str">
        <f>"C44014ABE"</f>
        <v>C44014ABE</v>
      </c>
      <c r="N788" t="str">
        <f>"C44014ABE"</f>
        <v>C44014ABE</v>
      </c>
      <c r="O788" t="str">
        <f>""</f>
        <v/>
      </c>
      <c r="P788" t="s">
        <v>267</v>
      </c>
      <c r="Q788" t="str">
        <f>""</f>
        <v/>
      </c>
      <c r="R788" t="s">
        <v>434</v>
      </c>
      <c r="S788" t="s">
        <v>342</v>
      </c>
      <c r="T788" s="1" t="s">
        <v>435</v>
      </c>
      <c r="U788">
        <v>82</v>
      </c>
      <c r="V788" t="s">
        <v>267</v>
      </c>
      <c r="W788" t="s">
        <v>267</v>
      </c>
      <c r="X788" t="s">
        <v>224</v>
      </c>
    </row>
    <row r="789" spans="1:24">
      <c r="A789">
        <v>13529</v>
      </c>
      <c r="B789" t="s">
        <v>25</v>
      </c>
      <c r="C789" t="str">
        <f t="shared" si="25"/>
        <v>INTEGRA Saloon</v>
      </c>
      <c r="D789" t="str">
        <f t="shared" si="24"/>
        <v>1.6</v>
      </c>
      <c r="E789" t="s">
        <v>26</v>
      </c>
      <c r="F789">
        <v>198501</v>
      </c>
      <c r="G789">
        <v>199012</v>
      </c>
      <c r="H789">
        <v>74</v>
      </c>
      <c r="I789">
        <v>100</v>
      </c>
      <c r="J789">
        <v>1590</v>
      </c>
      <c r="K789">
        <v>4269392</v>
      </c>
      <c r="L789" t="s">
        <v>436</v>
      </c>
      <c r="M789" t="str">
        <f>"BD1045"</f>
        <v>BD1045</v>
      </c>
      <c r="N789" t="str">
        <f>"BD1045"</f>
        <v>BD1045</v>
      </c>
      <c r="O789" t="str">
        <f>""</f>
        <v/>
      </c>
      <c r="P789" t="s">
        <v>267</v>
      </c>
      <c r="Q789" t="str">
        <f>""</f>
        <v/>
      </c>
      <c r="R789" t="s">
        <v>437</v>
      </c>
      <c r="T789" s="1" t="s">
        <v>438</v>
      </c>
      <c r="U789">
        <v>82</v>
      </c>
      <c r="V789" t="s">
        <v>267</v>
      </c>
      <c r="W789" t="s">
        <v>267</v>
      </c>
      <c r="X789" t="s">
        <v>224</v>
      </c>
    </row>
    <row r="790" spans="1:24">
      <c r="A790">
        <v>13529</v>
      </c>
      <c r="B790" t="s">
        <v>25</v>
      </c>
      <c r="C790" t="str">
        <f t="shared" si="25"/>
        <v>INTEGRA Saloon</v>
      </c>
      <c r="D790" t="str">
        <f t="shared" si="24"/>
        <v>1.6</v>
      </c>
      <c r="E790" t="s">
        <v>26</v>
      </c>
      <c r="F790">
        <v>198501</v>
      </c>
      <c r="G790">
        <v>199012</v>
      </c>
      <c r="H790">
        <v>74</v>
      </c>
      <c r="I790">
        <v>100</v>
      </c>
      <c r="J790">
        <v>1590</v>
      </c>
      <c r="K790">
        <v>4594270</v>
      </c>
      <c r="L790" t="s">
        <v>439</v>
      </c>
      <c r="M790" t="str">
        <f>"RT2003"</f>
        <v>RT2003</v>
      </c>
      <c r="N790" t="str">
        <f>"RT 2003"</f>
        <v>RT 2003</v>
      </c>
      <c r="O790" t="str">
        <f>"2003"</f>
        <v>2003</v>
      </c>
      <c r="P790" t="s">
        <v>267</v>
      </c>
      <c r="Q790" t="str">
        <f>"5901436312666"</f>
        <v>5901436312666</v>
      </c>
      <c r="R790" s="1" t="s">
        <v>440</v>
      </c>
      <c r="S790" t="s">
        <v>316</v>
      </c>
      <c r="T790" s="1" t="s">
        <v>441</v>
      </c>
      <c r="U790">
        <v>82</v>
      </c>
      <c r="V790" t="s">
        <v>267</v>
      </c>
      <c r="W790" t="s">
        <v>267</v>
      </c>
      <c r="X790" t="s">
        <v>224</v>
      </c>
    </row>
    <row r="791" spans="1:24">
      <c r="A791">
        <v>13529</v>
      </c>
      <c r="B791" t="s">
        <v>25</v>
      </c>
      <c r="C791" t="str">
        <f t="shared" si="25"/>
        <v>INTEGRA Saloon</v>
      </c>
      <c r="D791" t="str">
        <f t="shared" si="24"/>
        <v>1.6</v>
      </c>
      <c r="E791" t="s">
        <v>26</v>
      </c>
      <c r="F791">
        <v>198501</v>
      </c>
      <c r="G791">
        <v>199012</v>
      </c>
      <c r="H791">
        <v>74</v>
      </c>
      <c r="I791">
        <v>100</v>
      </c>
      <c r="J791">
        <v>1590</v>
      </c>
      <c r="K791">
        <v>4594271</v>
      </c>
      <c r="L791" t="s">
        <v>439</v>
      </c>
      <c r="M791" t="str">
        <f>"RT2003T5"</f>
        <v>RT2003T5</v>
      </c>
      <c r="N791" t="str">
        <f>"RT 2003 T5"</f>
        <v>RT 2003 T5</v>
      </c>
      <c r="O791" t="str">
        <f>"2003/T5"</f>
        <v>2003/T5</v>
      </c>
      <c r="P791" t="s">
        <v>267</v>
      </c>
      <c r="Q791" t="str">
        <f>"5901436320845"</f>
        <v>5901436320845</v>
      </c>
      <c r="R791" s="1" t="s">
        <v>442</v>
      </c>
      <c r="S791" t="s">
        <v>316</v>
      </c>
      <c r="T791" s="1" t="s">
        <v>443</v>
      </c>
      <c r="U791">
        <v>82</v>
      </c>
      <c r="V791" t="s">
        <v>267</v>
      </c>
      <c r="W791" t="s">
        <v>267</v>
      </c>
      <c r="X791" t="s">
        <v>224</v>
      </c>
    </row>
    <row r="792" spans="1:24">
      <c r="A792">
        <v>13529</v>
      </c>
      <c r="B792" t="s">
        <v>25</v>
      </c>
      <c r="C792" t="str">
        <f t="shared" si="25"/>
        <v>INTEGRA Saloon</v>
      </c>
      <c r="D792" t="str">
        <f t="shared" si="24"/>
        <v>1.6</v>
      </c>
      <c r="E792" t="s">
        <v>26</v>
      </c>
      <c r="F792">
        <v>198501</v>
      </c>
      <c r="G792">
        <v>199012</v>
      </c>
      <c r="H792">
        <v>74</v>
      </c>
      <c r="I792">
        <v>100</v>
      </c>
      <c r="J792">
        <v>1590</v>
      </c>
      <c r="K792">
        <v>4979745</v>
      </c>
      <c r="L792" t="s">
        <v>302</v>
      </c>
      <c r="M792" t="str">
        <f>"8510030000"</f>
        <v>8510030000</v>
      </c>
      <c r="N792" t="str">
        <f>"851003.0000"</f>
        <v>851003.0000</v>
      </c>
      <c r="O792" t="str">
        <f>""</f>
        <v/>
      </c>
      <c r="P792" t="s">
        <v>267</v>
      </c>
      <c r="Q792" t="str">
        <f>""</f>
        <v/>
      </c>
      <c r="R792" s="1" t="s">
        <v>1336</v>
      </c>
      <c r="S792" t="s">
        <v>1337</v>
      </c>
      <c r="T792" t="s">
        <v>1338</v>
      </c>
      <c r="U792">
        <v>82</v>
      </c>
      <c r="V792" t="s">
        <v>267</v>
      </c>
      <c r="W792" t="s">
        <v>267</v>
      </c>
      <c r="X792" t="s">
        <v>224</v>
      </c>
    </row>
    <row r="793" spans="1:24">
      <c r="A793">
        <v>13529</v>
      </c>
      <c r="B793" t="s">
        <v>25</v>
      </c>
      <c r="C793" t="str">
        <f t="shared" si="25"/>
        <v>INTEGRA Saloon</v>
      </c>
      <c r="D793" t="str">
        <f t="shared" si="24"/>
        <v>1.6</v>
      </c>
      <c r="E793" t="s">
        <v>26</v>
      </c>
      <c r="F793">
        <v>198501</v>
      </c>
      <c r="G793">
        <v>199012</v>
      </c>
      <c r="H793">
        <v>74</v>
      </c>
      <c r="I793">
        <v>100</v>
      </c>
      <c r="J793">
        <v>1590</v>
      </c>
      <c r="K793">
        <v>4979746</v>
      </c>
      <c r="L793" t="s">
        <v>302</v>
      </c>
      <c r="M793" t="str">
        <f>"8510036060"</f>
        <v>8510036060</v>
      </c>
      <c r="N793" t="str">
        <f>"851003.6060"</f>
        <v>851003.6060</v>
      </c>
      <c r="O793" t="str">
        <f>""</f>
        <v/>
      </c>
      <c r="P793" t="s">
        <v>267</v>
      </c>
      <c r="Q793" t="str">
        <f>""</f>
        <v/>
      </c>
      <c r="R793" s="1" t="s">
        <v>1336</v>
      </c>
      <c r="S793" t="s">
        <v>1337</v>
      </c>
      <c r="T793" t="s">
        <v>1338</v>
      </c>
      <c r="U793">
        <v>82</v>
      </c>
      <c r="V793" t="s">
        <v>267</v>
      </c>
      <c r="W793" t="s">
        <v>267</v>
      </c>
      <c r="X793" t="s">
        <v>224</v>
      </c>
    </row>
    <row r="794" spans="1:24">
      <c r="A794">
        <v>13529</v>
      </c>
      <c r="B794" t="s">
        <v>25</v>
      </c>
      <c r="C794" t="str">
        <f t="shared" si="25"/>
        <v>INTEGRA Saloon</v>
      </c>
      <c r="D794" t="str">
        <f t="shared" si="24"/>
        <v>1.6</v>
      </c>
      <c r="E794" t="s">
        <v>26</v>
      </c>
      <c r="F794">
        <v>198501</v>
      </c>
      <c r="G794">
        <v>199012</v>
      </c>
      <c r="H794">
        <v>74</v>
      </c>
      <c r="I794">
        <v>100</v>
      </c>
      <c r="J794">
        <v>1590</v>
      </c>
      <c r="K794">
        <v>4979747</v>
      </c>
      <c r="L794" t="s">
        <v>302</v>
      </c>
      <c r="M794" t="str">
        <f>"8510036880"</f>
        <v>8510036880</v>
      </c>
      <c r="N794" t="str">
        <f>"851003.6880"</f>
        <v>851003.6880</v>
      </c>
      <c r="O794" t="str">
        <f>""</f>
        <v/>
      </c>
      <c r="P794" t="s">
        <v>267</v>
      </c>
      <c r="Q794" t="str">
        <f>""</f>
        <v/>
      </c>
      <c r="R794" s="1" t="s">
        <v>1336</v>
      </c>
      <c r="S794" t="s">
        <v>1337</v>
      </c>
      <c r="T794" t="s">
        <v>1338</v>
      </c>
      <c r="U794">
        <v>82</v>
      </c>
      <c r="V794" t="s">
        <v>267</v>
      </c>
      <c r="W794" t="s">
        <v>267</v>
      </c>
      <c r="X794" t="s">
        <v>224</v>
      </c>
    </row>
    <row r="795" spans="1:24">
      <c r="A795">
        <v>13529</v>
      </c>
      <c r="B795" t="s">
        <v>25</v>
      </c>
      <c r="C795" t="str">
        <f t="shared" si="25"/>
        <v>INTEGRA Saloon</v>
      </c>
      <c r="D795" t="str">
        <f t="shared" si="24"/>
        <v>1.6</v>
      </c>
      <c r="E795" t="s">
        <v>26</v>
      </c>
      <c r="F795">
        <v>198501</v>
      </c>
      <c r="G795">
        <v>199012</v>
      </c>
      <c r="H795">
        <v>74</v>
      </c>
      <c r="I795">
        <v>100</v>
      </c>
      <c r="J795">
        <v>1590</v>
      </c>
      <c r="K795">
        <v>4979748</v>
      </c>
      <c r="L795" t="s">
        <v>302</v>
      </c>
      <c r="M795" t="str">
        <f>"8510036980"</f>
        <v>8510036980</v>
      </c>
      <c r="N795" t="str">
        <f>"851003.6980"</f>
        <v>851003.6980</v>
      </c>
      <c r="O795" t="str">
        <f>""</f>
        <v/>
      </c>
      <c r="P795" t="s">
        <v>267</v>
      </c>
      <c r="Q795" t="str">
        <f>""</f>
        <v/>
      </c>
      <c r="R795" s="1" t="s">
        <v>1336</v>
      </c>
      <c r="S795" t="s">
        <v>1337</v>
      </c>
      <c r="T795" t="s">
        <v>1338</v>
      </c>
      <c r="U795">
        <v>82</v>
      </c>
      <c r="V795" t="s">
        <v>267</v>
      </c>
      <c r="W795" t="s">
        <v>267</v>
      </c>
      <c r="X795" t="s">
        <v>224</v>
      </c>
    </row>
    <row r="796" spans="1:24">
      <c r="A796">
        <v>13529</v>
      </c>
      <c r="B796" t="s">
        <v>25</v>
      </c>
      <c r="C796" t="str">
        <f t="shared" si="25"/>
        <v>INTEGRA Saloon</v>
      </c>
      <c r="D796" t="str">
        <f t="shared" si="24"/>
        <v>1.6</v>
      </c>
      <c r="E796" t="s">
        <v>26</v>
      </c>
      <c r="F796">
        <v>198501</v>
      </c>
      <c r="G796">
        <v>199012</v>
      </c>
      <c r="H796">
        <v>74</v>
      </c>
      <c r="I796">
        <v>100</v>
      </c>
      <c r="J796">
        <v>1590</v>
      </c>
      <c r="K796">
        <v>4979758</v>
      </c>
      <c r="L796" t="s">
        <v>302</v>
      </c>
      <c r="M796" t="str">
        <f>"8510086060"</f>
        <v>8510086060</v>
      </c>
      <c r="N796" t="str">
        <f>"851008.6060"</f>
        <v>851008.6060</v>
      </c>
      <c r="O796" t="str">
        <f>""</f>
        <v/>
      </c>
      <c r="P796" t="s">
        <v>267</v>
      </c>
      <c r="Q796" t="str">
        <f>""</f>
        <v/>
      </c>
      <c r="R796" s="1" t="s">
        <v>303</v>
      </c>
      <c r="S796" t="s">
        <v>304</v>
      </c>
      <c r="T796" t="s">
        <v>305</v>
      </c>
      <c r="U796">
        <v>82</v>
      </c>
      <c r="V796" t="s">
        <v>267</v>
      </c>
      <c r="W796" t="s">
        <v>267</v>
      </c>
      <c r="X796" t="s">
        <v>224</v>
      </c>
    </row>
    <row r="797" spans="1:24">
      <c r="A797">
        <v>13529</v>
      </c>
      <c r="B797" t="s">
        <v>25</v>
      </c>
      <c r="C797" t="str">
        <f t="shared" si="25"/>
        <v>INTEGRA Saloon</v>
      </c>
      <c r="D797" t="str">
        <f t="shared" si="24"/>
        <v>1.6</v>
      </c>
      <c r="E797" t="s">
        <v>26</v>
      </c>
      <c r="F797">
        <v>198501</v>
      </c>
      <c r="G797">
        <v>199012</v>
      </c>
      <c r="H797">
        <v>74</v>
      </c>
      <c r="I797">
        <v>100</v>
      </c>
      <c r="J797">
        <v>1590</v>
      </c>
      <c r="K797">
        <v>4979759</v>
      </c>
      <c r="L797" t="s">
        <v>302</v>
      </c>
      <c r="M797" t="str">
        <f>"8510086880"</f>
        <v>8510086880</v>
      </c>
      <c r="N797" t="str">
        <f>"851008.6880"</f>
        <v>851008.6880</v>
      </c>
      <c r="O797" t="str">
        <f>""</f>
        <v/>
      </c>
      <c r="P797" t="s">
        <v>267</v>
      </c>
      <c r="Q797" t="str">
        <f>""</f>
        <v/>
      </c>
      <c r="R797" s="1" t="s">
        <v>303</v>
      </c>
      <c r="S797" t="s">
        <v>304</v>
      </c>
      <c r="T797" t="s">
        <v>444</v>
      </c>
      <c r="U797">
        <v>82</v>
      </c>
      <c r="V797" t="s">
        <v>267</v>
      </c>
      <c r="W797" t="s">
        <v>267</v>
      </c>
      <c r="X797" t="s">
        <v>224</v>
      </c>
    </row>
    <row r="798" spans="1:24">
      <c r="A798">
        <v>13529</v>
      </c>
      <c r="B798" t="s">
        <v>25</v>
      </c>
      <c r="C798" t="str">
        <f t="shared" si="25"/>
        <v>INTEGRA Saloon</v>
      </c>
      <c r="D798" t="str">
        <f t="shared" si="24"/>
        <v>1.6</v>
      </c>
      <c r="E798" t="s">
        <v>26</v>
      </c>
      <c r="F798">
        <v>198501</v>
      </c>
      <c r="G798">
        <v>199012</v>
      </c>
      <c r="H798">
        <v>74</v>
      </c>
      <c r="I798">
        <v>100</v>
      </c>
      <c r="J798">
        <v>1590</v>
      </c>
      <c r="K798">
        <v>4979760</v>
      </c>
      <c r="L798" t="s">
        <v>302</v>
      </c>
      <c r="M798" t="str">
        <f>"8510086980"</f>
        <v>8510086980</v>
      </c>
      <c r="N798" t="str">
        <f>"851008.6980"</f>
        <v>851008.6980</v>
      </c>
      <c r="O798" t="str">
        <f>""</f>
        <v/>
      </c>
      <c r="P798" t="s">
        <v>267</v>
      </c>
      <c r="Q798" t="str">
        <f>""</f>
        <v/>
      </c>
      <c r="R798" s="1" t="s">
        <v>303</v>
      </c>
      <c r="S798" t="s">
        <v>304</v>
      </c>
      <c r="T798" t="s">
        <v>445</v>
      </c>
      <c r="U798">
        <v>82</v>
      </c>
      <c r="V798" t="s">
        <v>267</v>
      </c>
      <c r="W798" t="s">
        <v>267</v>
      </c>
      <c r="X798" t="s">
        <v>224</v>
      </c>
    </row>
    <row r="799" spans="1:24">
      <c r="A799">
        <v>13529</v>
      </c>
      <c r="B799" t="s">
        <v>25</v>
      </c>
      <c r="C799" t="str">
        <f t="shared" si="25"/>
        <v>INTEGRA Saloon</v>
      </c>
      <c r="D799" t="str">
        <f t="shared" si="24"/>
        <v>1.6</v>
      </c>
      <c r="E799" t="s">
        <v>26</v>
      </c>
      <c r="F799">
        <v>198501</v>
      </c>
      <c r="G799">
        <v>199012</v>
      </c>
      <c r="H799">
        <v>74</v>
      </c>
      <c r="I799">
        <v>100</v>
      </c>
      <c r="J799">
        <v>1590</v>
      </c>
      <c r="K799">
        <v>4979807</v>
      </c>
      <c r="L799" t="s">
        <v>302</v>
      </c>
      <c r="M799" t="str">
        <f>"8510546060"</f>
        <v>8510546060</v>
      </c>
      <c r="N799" t="str">
        <f>"851054.6060"</f>
        <v>851054.6060</v>
      </c>
      <c r="O799" t="str">
        <f>""</f>
        <v/>
      </c>
      <c r="P799" t="s">
        <v>267</v>
      </c>
      <c r="Q799" t="str">
        <f>""</f>
        <v/>
      </c>
      <c r="R799" s="1" t="s">
        <v>306</v>
      </c>
      <c r="S799" t="s">
        <v>307</v>
      </c>
      <c r="T799" t="s">
        <v>446</v>
      </c>
      <c r="U799">
        <v>82</v>
      </c>
      <c r="V799" t="s">
        <v>267</v>
      </c>
      <c r="W799" t="s">
        <v>267</v>
      </c>
      <c r="X799" t="s">
        <v>224</v>
      </c>
    </row>
    <row r="800" spans="1:24">
      <c r="A800">
        <v>13529</v>
      </c>
      <c r="B800" t="s">
        <v>25</v>
      </c>
      <c r="C800" t="str">
        <f t="shared" si="25"/>
        <v>INTEGRA Saloon</v>
      </c>
      <c r="D800" t="str">
        <f t="shared" si="24"/>
        <v>1.6</v>
      </c>
      <c r="E800" t="s">
        <v>26</v>
      </c>
      <c r="F800">
        <v>198501</v>
      </c>
      <c r="G800">
        <v>199012</v>
      </c>
      <c r="H800">
        <v>74</v>
      </c>
      <c r="I800">
        <v>100</v>
      </c>
      <c r="J800">
        <v>1590</v>
      </c>
      <c r="K800">
        <v>4979808</v>
      </c>
      <c r="L800" t="s">
        <v>302</v>
      </c>
      <c r="M800" t="str">
        <f>"8510546880"</f>
        <v>8510546880</v>
      </c>
      <c r="N800" t="str">
        <f>"851054.6880"</f>
        <v>851054.6880</v>
      </c>
      <c r="O800" t="str">
        <f>""</f>
        <v/>
      </c>
      <c r="P800" t="s">
        <v>267</v>
      </c>
      <c r="Q800" t="str">
        <f>""</f>
        <v/>
      </c>
      <c r="R800" s="1" t="s">
        <v>306</v>
      </c>
      <c r="S800" t="s">
        <v>307</v>
      </c>
      <c r="T800" t="s">
        <v>447</v>
      </c>
      <c r="U800">
        <v>82</v>
      </c>
      <c r="V800" t="s">
        <v>267</v>
      </c>
      <c r="W800" t="s">
        <v>267</v>
      </c>
      <c r="X800" t="s">
        <v>224</v>
      </c>
    </row>
    <row r="801" spans="1:25">
      <c r="A801">
        <v>13529</v>
      </c>
      <c r="B801" t="s">
        <v>25</v>
      </c>
      <c r="C801" t="str">
        <f t="shared" si="25"/>
        <v>INTEGRA Saloon</v>
      </c>
      <c r="D801" t="str">
        <f t="shared" si="24"/>
        <v>1.6</v>
      </c>
      <c r="E801" t="s">
        <v>26</v>
      </c>
      <c r="F801">
        <v>198501</v>
      </c>
      <c r="G801">
        <v>199012</v>
      </c>
      <c r="H801">
        <v>74</v>
      </c>
      <c r="I801">
        <v>100</v>
      </c>
      <c r="J801">
        <v>1590</v>
      </c>
      <c r="K801">
        <v>4979809</v>
      </c>
      <c r="L801" t="s">
        <v>302</v>
      </c>
      <c r="M801" t="str">
        <f>"8510546980"</f>
        <v>8510546980</v>
      </c>
      <c r="N801" t="str">
        <f>"851054.6980"</f>
        <v>851054.6980</v>
      </c>
      <c r="O801" t="str">
        <f>""</f>
        <v/>
      </c>
      <c r="P801" t="s">
        <v>267</v>
      </c>
      <c r="Q801" t="str">
        <f>""</f>
        <v/>
      </c>
      <c r="R801" s="1" t="s">
        <v>306</v>
      </c>
      <c r="S801" t="s">
        <v>307</v>
      </c>
      <c r="T801" t="s">
        <v>448</v>
      </c>
      <c r="U801">
        <v>82</v>
      </c>
      <c r="V801" t="s">
        <v>267</v>
      </c>
      <c r="W801" t="s">
        <v>267</v>
      </c>
      <c r="X801" t="s">
        <v>224</v>
      </c>
    </row>
    <row r="802" spans="1:25">
      <c r="A802">
        <v>13529</v>
      </c>
      <c r="B802" t="s">
        <v>25</v>
      </c>
      <c r="C802" t="str">
        <f t="shared" si="25"/>
        <v>INTEGRA Saloon</v>
      </c>
      <c r="D802" t="str">
        <f t="shared" si="24"/>
        <v>1.6</v>
      </c>
      <c r="E802" t="s">
        <v>26</v>
      </c>
      <c r="F802">
        <v>198501</v>
      </c>
      <c r="G802">
        <v>199012</v>
      </c>
      <c r="H802">
        <v>74</v>
      </c>
      <c r="I802">
        <v>100</v>
      </c>
      <c r="J802">
        <v>1590</v>
      </c>
      <c r="K802">
        <v>589505</v>
      </c>
      <c r="L802" t="s">
        <v>636</v>
      </c>
      <c r="M802" t="str">
        <f>"JE625"</f>
        <v>JE625</v>
      </c>
      <c r="N802" t="str">
        <f>"JE625"</f>
        <v>JE625</v>
      </c>
      <c r="O802" t="str">
        <f>""</f>
        <v/>
      </c>
      <c r="P802" t="s">
        <v>1339</v>
      </c>
      <c r="Q802" t="str">
        <f>""</f>
        <v/>
      </c>
      <c r="S802" t="s">
        <v>1260</v>
      </c>
      <c r="T802" t="s">
        <v>1340</v>
      </c>
      <c r="U802">
        <v>138</v>
      </c>
      <c r="V802" t="s">
        <v>1339</v>
      </c>
      <c r="W802" t="s">
        <v>640</v>
      </c>
      <c r="X802" t="s">
        <v>1341</v>
      </c>
      <c r="Y802" t="s">
        <v>1342</v>
      </c>
    </row>
    <row r="803" spans="1:25">
      <c r="A803">
        <v>13529</v>
      </c>
      <c r="B803" t="s">
        <v>25</v>
      </c>
      <c r="C803" t="str">
        <f t="shared" si="25"/>
        <v>INTEGRA Saloon</v>
      </c>
      <c r="D803" t="str">
        <f t="shared" si="24"/>
        <v>1.6</v>
      </c>
      <c r="E803" t="s">
        <v>26</v>
      </c>
      <c r="F803">
        <v>198501</v>
      </c>
      <c r="G803">
        <v>199012</v>
      </c>
      <c r="H803">
        <v>74</v>
      </c>
      <c r="I803">
        <v>100</v>
      </c>
      <c r="J803">
        <v>1590</v>
      </c>
      <c r="K803">
        <v>589515</v>
      </c>
      <c r="L803" t="s">
        <v>636</v>
      </c>
      <c r="M803" t="str">
        <f>"JF024"</f>
        <v>JF024</v>
      </c>
      <c r="N803" t="str">
        <f>"JF024"</f>
        <v>JF024</v>
      </c>
      <c r="O803" t="str">
        <f>""</f>
        <v/>
      </c>
      <c r="P803" t="s">
        <v>1339</v>
      </c>
      <c r="Q803" t="str">
        <f>""</f>
        <v/>
      </c>
      <c r="R803" t="s">
        <v>1343</v>
      </c>
      <c r="S803" t="s">
        <v>1260</v>
      </c>
      <c r="T803" t="s">
        <v>1344</v>
      </c>
      <c r="U803">
        <v>138</v>
      </c>
      <c r="V803" t="s">
        <v>1339</v>
      </c>
      <c r="W803" t="s">
        <v>640</v>
      </c>
      <c r="X803" t="s">
        <v>1341</v>
      </c>
      <c r="Y803" t="s">
        <v>1342</v>
      </c>
    </row>
    <row r="804" spans="1:25">
      <c r="A804">
        <v>13529</v>
      </c>
      <c r="B804" t="s">
        <v>25</v>
      </c>
      <c r="C804" t="str">
        <f t="shared" si="25"/>
        <v>INTEGRA Saloon</v>
      </c>
      <c r="D804" t="str">
        <f t="shared" si="24"/>
        <v>1.6</v>
      </c>
      <c r="E804" t="s">
        <v>26</v>
      </c>
      <c r="F804">
        <v>198501</v>
      </c>
      <c r="G804">
        <v>199012</v>
      </c>
      <c r="H804">
        <v>74</v>
      </c>
      <c r="I804">
        <v>100</v>
      </c>
      <c r="J804">
        <v>1590</v>
      </c>
      <c r="K804">
        <v>833965</v>
      </c>
      <c r="L804" t="s">
        <v>1291</v>
      </c>
      <c r="M804" t="str">
        <f>"CK0392"</f>
        <v>CK0392</v>
      </c>
      <c r="N804" t="str">
        <f>"CK0392"</f>
        <v>CK0392</v>
      </c>
      <c r="O804" t="str">
        <f>""</f>
        <v/>
      </c>
      <c r="P804" t="s">
        <v>1345</v>
      </c>
      <c r="Q804" t="str">
        <f>""</f>
        <v/>
      </c>
      <c r="R804" t="s">
        <v>1346</v>
      </c>
      <c r="S804" t="s">
        <v>1293</v>
      </c>
      <c r="T804" s="1" t="s">
        <v>1347</v>
      </c>
      <c r="U804">
        <v>150</v>
      </c>
      <c r="V804" t="s">
        <v>1345</v>
      </c>
      <c r="W804" t="s">
        <v>649</v>
      </c>
      <c r="X804" t="s">
        <v>1348</v>
      </c>
      <c r="Y804" t="s">
        <v>1348</v>
      </c>
    </row>
    <row r="805" spans="1:25">
      <c r="A805">
        <v>13529</v>
      </c>
      <c r="B805" t="s">
        <v>25</v>
      </c>
      <c r="C805" t="str">
        <f t="shared" si="25"/>
        <v>INTEGRA Saloon</v>
      </c>
      <c r="D805" t="str">
        <f t="shared" si="24"/>
        <v>1.6</v>
      </c>
      <c r="E805" t="s">
        <v>26</v>
      </c>
      <c r="F805">
        <v>198501</v>
      </c>
      <c r="G805">
        <v>199012</v>
      </c>
      <c r="H805">
        <v>74</v>
      </c>
      <c r="I805">
        <v>100</v>
      </c>
      <c r="J805">
        <v>1590</v>
      </c>
      <c r="K805">
        <v>4900099</v>
      </c>
      <c r="L805" t="s">
        <v>449</v>
      </c>
      <c r="M805" t="str">
        <f>"11847"</f>
        <v>11847</v>
      </c>
      <c r="N805" t="str">
        <f>"11847"</f>
        <v>11847</v>
      </c>
      <c r="O805" t="str">
        <f>""</f>
        <v/>
      </c>
      <c r="P805" t="s">
        <v>450</v>
      </c>
      <c r="Q805" t="str">
        <f>"8435392001083"</f>
        <v>8435392001083</v>
      </c>
      <c r="R805" t="s">
        <v>451</v>
      </c>
      <c r="T805" s="1" t="s">
        <v>452</v>
      </c>
      <c r="U805">
        <v>191</v>
      </c>
      <c r="V805" t="s">
        <v>450</v>
      </c>
      <c r="W805" t="s">
        <v>453</v>
      </c>
      <c r="X805" t="s">
        <v>211</v>
      </c>
    </row>
    <row r="806" spans="1:25">
      <c r="A806">
        <v>13529</v>
      </c>
      <c r="B806" t="s">
        <v>25</v>
      </c>
      <c r="C806" t="str">
        <f t="shared" si="25"/>
        <v>INTEGRA Saloon</v>
      </c>
      <c r="D806" t="str">
        <f t="shared" si="24"/>
        <v>1.6</v>
      </c>
      <c r="E806" t="s">
        <v>26</v>
      </c>
      <c r="F806">
        <v>198501</v>
      </c>
      <c r="G806">
        <v>199012</v>
      </c>
      <c r="H806">
        <v>74</v>
      </c>
      <c r="I806">
        <v>100</v>
      </c>
      <c r="J806">
        <v>1590</v>
      </c>
      <c r="K806">
        <v>4906484</v>
      </c>
      <c r="L806" t="s">
        <v>449</v>
      </c>
      <c r="M806" t="str">
        <f>"K11847"</f>
        <v>K11847</v>
      </c>
      <c r="N806" t="str">
        <f>"K11847"</f>
        <v>K11847</v>
      </c>
      <c r="O806" t="str">
        <f>""</f>
        <v/>
      </c>
      <c r="P806" t="s">
        <v>450</v>
      </c>
      <c r="Q806" t="str">
        <f>"8435392014229"</f>
        <v>8435392014229</v>
      </c>
      <c r="R806" t="s">
        <v>451</v>
      </c>
      <c r="S806" t="s">
        <v>454</v>
      </c>
      <c r="T806" s="1" t="s">
        <v>452</v>
      </c>
      <c r="U806">
        <v>191</v>
      </c>
      <c r="V806" t="s">
        <v>450</v>
      </c>
      <c r="W806" t="s">
        <v>453</v>
      </c>
      <c r="X806" t="s">
        <v>211</v>
      </c>
    </row>
    <row r="807" spans="1:25">
      <c r="A807">
        <v>13529</v>
      </c>
      <c r="B807" t="s">
        <v>25</v>
      </c>
      <c r="C807" t="str">
        <f t="shared" si="25"/>
        <v>INTEGRA Saloon</v>
      </c>
      <c r="D807" t="str">
        <f t="shared" si="24"/>
        <v>1.6</v>
      </c>
      <c r="E807" t="s">
        <v>26</v>
      </c>
      <c r="F807">
        <v>198501</v>
      </c>
      <c r="G807">
        <v>199012</v>
      </c>
      <c r="H807">
        <v>74</v>
      </c>
      <c r="I807">
        <v>100</v>
      </c>
      <c r="J807">
        <v>1590</v>
      </c>
      <c r="K807">
        <v>4898277</v>
      </c>
      <c r="L807" t="s">
        <v>449</v>
      </c>
      <c r="M807" t="str">
        <f>"0912"</f>
        <v>0912</v>
      </c>
      <c r="N807" t="str">
        <f>"0912"</f>
        <v>0912</v>
      </c>
      <c r="O807" t="str">
        <f>""</f>
        <v/>
      </c>
      <c r="P807" t="s">
        <v>455</v>
      </c>
      <c r="Q807" t="str">
        <f>"8435329504960"</f>
        <v>8435329504960</v>
      </c>
      <c r="R807" t="s">
        <v>456</v>
      </c>
      <c r="T807" t="s">
        <v>457</v>
      </c>
      <c r="U807">
        <v>193</v>
      </c>
      <c r="V807" t="s">
        <v>455</v>
      </c>
      <c r="W807" t="s">
        <v>453</v>
      </c>
      <c r="X807" t="s">
        <v>49</v>
      </c>
      <c r="Y807" t="s">
        <v>50</v>
      </c>
    </row>
    <row r="808" spans="1:25">
      <c r="A808">
        <v>13529</v>
      </c>
      <c r="B808" t="s">
        <v>25</v>
      </c>
      <c r="C808" t="str">
        <f t="shared" si="25"/>
        <v>INTEGRA Saloon</v>
      </c>
      <c r="D808" t="str">
        <f t="shared" si="24"/>
        <v>1.6</v>
      </c>
      <c r="E808" t="s">
        <v>26</v>
      </c>
      <c r="F808">
        <v>198501</v>
      </c>
      <c r="G808">
        <v>199012</v>
      </c>
      <c r="H808">
        <v>74</v>
      </c>
      <c r="I808">
        <v>100</v>
      </c>
      <c r="J808">
        <v>1590</v>
      </c>
      <c r="K808">
        <v>4906835</v>
      </c>
      <c r="L808" t="s">
        <v>449</v>
      </c>
      <c r="M808" t="str">
        <f>"K912"</f>
        <v>K912</v>
      </c>
      <c r="N808" t="str">
        <f>"K912"</f>
        <v>K912</v>
      </c>
      <c r="O808" t="str">
        <f>""</f>
        <v/>
      </c>
      <c r="P808" t="s">
        <v>455</v>
      </c>
      <c r="Q808" t="str">
        <f>"8435329556877"</f>
        <v>8435329556877</v>
      </c>
      <c r="R808" t="s">
        <v>456</v>
      </c>
      <c r="S808" t="s">
        <v>454</v>
      </c>
      <c r="T808" t="s">
        <v>457</v>
      </c>
      <c r="U808">
        <v>193</v>
      </c>
      <c r="V808" t="s">
        <v>455</v>
      </c>
      <c r="W808" t="s">
        <v>453</v>
      </c>
      <c r="X808" t="s">
        <v>49</v>
      </c>
      <c r="Y808" t="s">
        <v>50</v>
      </c>
    </row>
    <row r="809" spans="1:25">
      <c r="A809">
        <v>13529</v>
      </c>
      <c r="B809" t="s">
        <v>25</v>
      </c>
      <c r="C809" t="str">
        <f t="shared" si="25"/>
        <v>INTEGRA Saloon</v>
      </c>
      <c r="D809" t="str">
        <f t="shared" si="24"/>
        <v>1.6</v>
      </c>
      <c r="E809" t="s">
        <v>26</v>
      </c>
      <c r="F809">
        <v>198501</v>
      </c>
      <c r="G809">
        <v>199012</v>
      </c>
      <c r="H809">
        <v>74</v>
      </c>
      <c r="I809">
        <v>100</v>
      </c>
      <c r="J809">
        <v>1590</v>
      </c>
      <c r="K809">
        <v>458543</v>
      </c>
      <c r="L809" t="s">
        <v>33</v>
      </c>
      <c r="M809" t="str">
        <f>"J2863004"</f>
        <v>J2863004</v>
      </c>
      <c r="N809" t="str">
        <f>"J2863004"</f>
        <v>J2863004</v>
      </c>
      <c r="O809" t="str">
        <f>""</f>
        <v/>
      </c>
      <c r="P809" t="s">
        <v>458</v>
      </c>
      <c r="Q809" t="str">
        <f>"8711768047924"</f>
        <v>8711768047924</v>
      </c>
      <c r="R809" t="s">
        <v>459</v>
      </c>
      <c r="S809" t="s">
        <v>460</v>
      </c>
      <c r="T809" s="1" t="s">
        <v>461</v>
      </c>
      <c r="U809">
        <v>194</v>
      </c>
      <c r="V809" t="s">
        <v>458</v>
      </c>
      <c r="W809" t="s">
        <v>462</v>
      </c>
      <c r="X809" t="s">
        <v>49</v>
      </c>
      <c r="Y809" t="s">
        <v>50</v>
      </c>
    </row>
    <row r="810" spans="1:25">
      <c r="A810">
        <v>13529</v>
      </c>
      <c r="B810" t="s">
        <v>25</v>
      </c>
      <c r="C810" t="str">
        <f t="shared" si="25"/>
        <v>INTEGRA Saloon</v>
      </c>
      <c r="D810" t="str">
        <f t="shared" ref="D810:D873" si="26">"1.6"</f>
        <v>1.6</v>
      </c>
      <c r="E810" t="s">
        <v>26</v>
      </c>
      <c r="F810">
        <v>198501</v>
      </c>
      <c r="G810">
        <v>199012</v>
      </c>
      <c r="H810">
        <v>74</v>
      </c>
      <c r="I810">
        <v>100</v>
      </c>
      <c r="J810">
        <v>1590</v>
      </c>
      <c r="K810">
        <v>459181</v>
      </c>
      <c r="L810" t="s">
        <v>33</v>
      </c>
      <c r="M810" t="str">
        <f>"J2884012"</f>
        <v>J2884012</v>
      </c>
      <c r="N810" t="str">
        <f>"J2884012"</f>
        <v>J2884012</v>
      </c>
      <c r="O810" t="str">
        <f>""</f>
        <v/>
      </c>
      <c r="P810" t="s">
        <v>458</v>
      </c>
      <c r="Q810" t="str">
        <f>"8711768048396"</f>
        <v>8711768048396</v>
      </c>
      <c r="R810" t="s">
        <v>463</v>
      </c>
      <c r="S810" t="s">
        <v>464</v>
      </c>
      <c r="T810" t="s">
        <v>465</v>
      </c>
      <c r="U810">
        <v>194</v>
      </c>
      <c r="V810" t="s">
        <v>458</v>
      </c>
      <c r="W810" t="s">
        <v>462</v>
      </c>
      <c r="X810" t="s">
        <v>49</v>
      </c>
      <c r="Y810" t="s">
        <v>50</v>
      </c>
    </row>
    <row r="811" spans="1:25">
      <c r="A811">
        <v>13529</v>
      </c>
      <c r="B811" t="s">
        <v>25</v>
      </c>
      <c r="C811" t="str">
        <f t="shared" si="25"/>
        <v>INTEGRA Saloon</v>
      </c>
      <c r="D811" t="str">
        <f t="shared" si="26"/>
        <v>1.6</v>
      </c>
      <c r="E811" t="s">
        <v>26</v>
      </c>
      <c r="F811">
        <v>198501</v>
      </c>
      <c r="G811">
        <v>199012</v>
      </c>
      <c r="H811">
        <v>74</v>
      </c>
      <c r="I811">
        <v>100</v>
      </c>
      <c r="J811">
        <v>1590</v>
      </c>
      <c r="K811">
        <v>3953758</v>
      </c>
      <c r="L811" t="s">
        <v>27</v>
      </c>
      <c r="M811" t="str">
        <f>"08582004"</f>
        <v>08582004</v>
      </c>
      <c r="N811" t="str">
        <f>"0858-2004"</f>
        <v>0858-2004</v>
      </c>
      <c r="O811" t="str">
        <f>""</f>
        <v/>
      </c>
      <c r="P811" t="s">
        <v>458</v>
      </c>
      <c r="Q811" t="str">
        <f>"8718993025789"</f>
        <v>8718993025789</v>
      </c>
      <c r="R811" t="s">
        <v>466</v>
      </c>
      <c r="S811" t="s">
        <v>424</v>
      </c>
      <c r="T811" s="1" t="s">
        <v>1349</v>
      </c>
      <c r="U811">
        <v>194</v>
      </c>
      <c r="V811" t="s">
        <v>458</v>
      </c>
      <c r="W811" t="s">
        <v>462</v>
      </c>
      <c r="X811" t="s">
        <v>49</v>
      </c>
      <c r="Y811" t="s">
        <v>50</v>
      </c>
    </row>
    <row r="812" spans="1:25">
      <c r="A812">
        <v>13529</v>
      </c>
      <c r="B812" t="s">
        <v>25</v>
      </c>
      <c r="C812" t="str">
        <f t="shared" si="25"/>
        <v>INTEGRA Saloon</v>
      </c>
      <c r="D812" t="str">
        <f t="shared" si="26"/>
        <v>1.6</v>
      </c>
      <c r="E812" t="s">
        <v>26</v>
      </c>
      <c r="F812">
        <v>198501</v>
      </c>
      <c r="G812">
        <v>199012</v>
      </c>
      <c r="H812">
        <v>74</v>
      </c>
      <c r="I812">
        <v>100</v>
      </c>
      <c r="J812">
        <v>1590</v>
      </c>
      <c r="K812">
        <v>3968736</v>
      </c>
      <c r="L812" t="s">
        <v>27</v>
      </c>
      <c r="M812" t="str">
        <f>"M16805"</f>
        <v>M16805</v>
      </c>
      <c r="N812" t="str">
        <f>"M168-05"</f>
        <v>M168-05</v>
      </c>
      <c r="O812" t="str">
        <f>""</f>
        <v/>
      </c>
      <c r="P812" t="s">
        <v>458</v>
      </c>
      <c r="Q812" t="str">
        <f>"8718993277232"</f>
        <v>8718993277232</v>
      </c>
      <c r="R812" t="s">
        <v>468</v>
      </c>
      <c r="T812" s="1" t="s">
        <v>469</v>
      </c>
      <c r="U812">
        <v>194</v>
      </c>
      <c r="V812" t="s">
        <v>458</v>
      </c>
      <c r="W812" t="s">
        <v>462</v>
      </c>
      <c r="X812" t="s">
        <v>49</v>
      </c>
      <c r="Y812" t="s">
        <v>50</v>
      </c>
    </row>
    <row r="813" spans="1:25">
      <c r="A813">
        <v>13529</v>
      </c>
      <c r="B813" t="s">
        <v>25</v>
      </c>
      <c r="C813" t="str">
        <f t="shared" si="25"/>
        <v>INTEGRA Saloon</v>
      </c>
      <c r="D813" t="str">
        <f t="shared" si="26"/>
        <v>1.6</v>
      </c>
      <c r="E813" t="s">
        <v>26</v>
      </c>
      <c r="F813">
        <v>198501</v>
      </c>
      <c r="G813">
        <v>199012</v>
      </c>
      <c r="H813">
        <v>74</v>
      </c>
      <c r="I813">
        <v>100</v>
      </c>
      <c r="J813">
        <v>1590</v>
      </c>
      <c r="K813">
        <v>4531095</v>
      </c>
      <c r="L813" t="s">
        <v>59</v>
      </c>
      <c r="M813" t="str">
        <f>"21990024"</f>
        <v>21990024</v>
      </c>
      <c r="N813" t="str">
        <f>"21-990024"</f>
        <v>21-990024</v>
      </c>
      <c r="O813" t="str">
        <f>""</f>
        <v/>
      </c>
      <c r="P813" t="s">
        <v>458</v>
      </c>
      <c r="Q813" t="str">
        <f>""</f>
        <v/>
      </c>
      <c r="R813" t="s">
        <v>470</v>
      </c>
      <c r="S813" t="s">
        <v>61</v>
      </c>
      <c r="T813" t="s">
        <v>471</v>
      </c>
      <c r="U813">
        <v>194</v>
      </c>
      <c r="V813" t="s">
        <v>458</v>
      </c>
      <c r="W813" t="s">
        <v>462</v>
      </c>
      <c r="X813" t="s">
        <v>49</v>
      </c>
      <c r="Y813" t="s">
        <v>50</v>
      </c>
    </row>
    <row r="814" spans="1:25">
      <c r="A814">
        <v>13529</v>
      </c>
      <c r="B814" t="s">
        <v>25</v>
      </c>
      <c r="C814" t="str">
        <f t="shared" si="25"/>
        <v>INTEGRA Saloon</v>
      </c>
      <c r="D814" t="str">
        <f t="shared" si="26"/>
        <v>1.6</v>
      </c>
      <c r="E814" t="s">
        <v>26</v>
      </c>
      <c r="F814">
        <v>198501</v>
      </c>
      <c r="G814">
        <v>199012</v>
      </c>
      <c r="H814">
        <v>74</v>
      </c>
      <c r="I814">
        <v>100</v>
      </c>
      <c r="J814">
        <v>1590</v>
      </c>
      <c r="K814">
        <v>4641729</v>
      </c>
      <c r="L814" t="s">
        <v>472</v>
      </c>
      <c r="M814" t="str">
        <f>"G54003PC"</f>
        <v>G54003PC</v>
      </c>
      <c r="N814" t="str">
        <f>"G54003PC"</f>
        <v>G54003PC</v>
      </c>
      <c r="O814" t="str">
        <f>""</f>
        <v/>
      </c>
      <c r="P814" t="s">
        <v>458</v>
      </c>
      <c r="Q814" t="str">
        <f>""</f>
        <v/>
      </c>
      <c r="R814" t="s">
        <v>473</v>
      </c>
      <c r="S814" t="s">
        <v>474</v>
      </c>
      <c r="T814" s="1" t="s">
        <v>475</v>
      </c>
      <c r="U814">
        <v>194</v>
      </c>
      <c r="V814" t="s">
        <v>458</v>
      </c>
      <c r="W814" t="s">
        <v>462</v>
      </c>
      <c r="X814" t="s">
        <v>49</v>
      </c>
      <c r="Y814" t="s">
        <v>50</v>
      </c>
    </row>
    <row r="815" spans="1:25">
      <c r="A815">
        <v>13529</v>
      </c>
      <c r="B815" t="s">
        <v>25</v>
      </c>
      <c r="C815" t="str">
        <f t="shared" si="25"/>
        <v>INTEGRA Saloon</v>
      </c>
      <c r="D815" t="str">
        <f t="shared" si="26"/>
        <v>1.6</v>
      </c>
      <c r="E815" t="s">
        <v>26</v>
      </c>
      <c r="F815">
        <v>198501</v>
      </c>
      <c r="G815">
        <v>199012</v>
      </c>
      <c r="H815">
        <v>74</v>
      </c>
      <c r="I815">
        <v>100</v>
      </c>
      <c r="J815">
        <v>1590</v>
      </c>
      <c r="K815">
        <v>3028703</v>
      </c>
      <c r="L815" t="s">
        <v>33</v>
      </c>
      <c r="M815" t="str">
        <f>"J2844001"</f>
        <v>J2844001</v>
      </c>
      <c r="N815" t="str">
        <f>"J2844001"</f>
        <v>J2844001</v>
      </c>
      <c r="O815" t="str">
        <f>""</f>
        <v/>
      </c>
      <c r="P815" t="s">
        <v>476</v>
      </c>
      <c r="Q815" t="str">
        <f>"8711768116781"</f>
        <v>8711768116781</v>
      </c>
      <c r="R815" t="s">
        <v>451</v>
      </c>
      <c r="S815" t="s">
        <v>477</v>
      </c>
      <c r="T815" s="1" t="s">
        <v>478</v>
      </c>
      <c r="U815">
        <v>195</v>
      </c>
      <c r="V815" t="s">
        <v>476</v>
      </c>
      <c r="W815" t="s">
        <v>462</v>
      </c>
      <c r="X815" t="s">
        <v>211</v>
      </c>
    </row>
    <row r="816" spans="1:25">
      <c r="A816">
        <v>13529</v>
      </c>
      <c r="B816" t="s">
        <v>25</v>
      </c>
      <c r="C816" t="str">
        <f t="shared" si="25"/>
        <v>INTEGRA Saloon</v>
      </c>
      <c r="D816" t="str">
        <f t="shared" si="26"/>
        <v>1.6</v>
      </c>
      <c r="E816" t="s">
        <v>26</v>
      </c>
      <c r="F816">
        <v>198501</v>
      </c>
      <c r="G816">
        <v>199012</v>
      </c>
      <c r="H816">
        <v>74</v>
      </c>
      <c r="I816">
        <v>100</v>
      </c>
      <c r="J816">
        <v>1590</v>
      </c>
      <c r="K816">
        <v>4642241</v>
      </c>
      <c r="L816" t="s">
        <v>472</v>
      </c>
      <c r="M816" t="str">
        <f>"I64001PC"</f>
        <v>I64001PC</v>
      </c>
      <c r="N816" t="str">
        <f>"I64001PC"</f>
        <v>I64001PC</v>
      </c>
      <c r="O816" t="str">
        <f>""</f>
        <v/>
      </c>
      <c r="P816" t="s">
        <v>476</v>
      </c>
      <c r="Q816" t="str">
        <f>""</f>
        <v/>
      </c>
      <c r="R816" t="s">
        <v>479</v>
      </c>
      <c r="S816" t="s">
        <v>477</v>
      </c>
      <c r="T816" s="1" t="s">
        <v>480</v>
      </c>
      <c r="U816">
        <v>195</v>
      </c>
      <c r="V816" t="s">
        <v>476</v>
      </c>
      <c r="W816" t="s">
        <v>462</v>
      </c>
      <c r="X816" t="s">
        <v>211</v>
      </c>
    </row>
    <row r="817" spans="1:25">
      <c r="A817">
        <v>13529</v>
      </c>
      <c r="B817" t="s">
        <v>25</v>
      </c>
      <c r="C817" t="str">
        <f t="shared" si="25"/>
        <v>INTEGRA Saloon</v>
      </c>
      <c r="D817" t="str">
        <f t="shared" si="26"/>
        <v>1.6</v>
      </c>
      <c r="E817" t="s">
        <v>26</v>
      </c>
      <c r="F817">
        <v>198501</v>
      </c>
      <c r="G817">
        <v>199012</v>
      </c>
      <c r="H817">
        <v>74</v>
      </c>
      <c r="I817">
        <v>100</v>
      </c>
      <c r="J817">
        <v>1590</v>
      </c>
      <c r="K817">
        <v>4356676</v>
      </c>
      <c r="L817" t="s">
        <v>481</v>
      </c>
      <c r="M817" t="str">
        <f>"2000853"</f>
        <v>2000853</v>
      </c>
      <c r="N817" t="str">
        <f>"2000853"</f>
        <v>2000853</v>
      </c>
      <c r="O817" t="str">
        <f>""</f>
        <v/>
      </c>
      <c r="P817" t="s">
        <v>482</v>
      </c>
      <c r="Q817" t="str">
        <f>"8435281031511"</f>
        <v>8435281031511</v>
      </c>
      <c r="R817" t="s">
        <v>483</v>
      </c>
      <c r="T817" t="s">
        <v>484</v>
      </c>
      <c r="U817">
        <v>219</v>
      </c>
      <c r="V817" t="s">
        <v>482</v>
      </c>
      <c r="W817" t="s">
        <v>485</v>
      </c>
      <c r="X817" t="s">
        <v>486</v>
      </c>
      <c r="Y817" t="s">
        <v>487</v>
      </c>
    </row>
    <row r="818" spans="1:25">
      <c r="A818">
        <v>13529</v>
      </c>
      <c r="B818" t="s">
        <v>25</v>
      </c>
      <c r="C818" t="str">
        <f t="shared" si="25"/>
        <v>INTEGRA Saloon</v>
      </c>
      <c r="D818" t="str">
        <f t="shared" si="26"/>
        <v>1.6</v>
      </c>
      <c r="E818" t="s">
        <v>26</v>
      </c>
      <c r="F818">
        <v>198501</v>
      </c>
      <c r="G818">
        <v>199012</v>
      </c>
      <c r="H818">
        <v>74</v>
      </c>
      <c r="I818">
        <v>100</v>
      </c>
      <c r="J818">
        <v>1590</v>
      </c>
      <c r="K818">
        <v>700319</v>
      </c>
      <c r="L818" t="s">
        <v>46</v>
      </c>
      <c r="M818" t="str">
        <f>"AC1001"</f>
        <v>AC1001</v>
      </c>
      <c r="N818" t="str">
        <f>"AC1001"</f>
        <v>AC1001</v>
      </c>
      <c r="O818" t="str">
        <f>""</f>
        <v/>
      </c>
      <c r="P818" t="s">
        <v>488</v>
      </c>
      <c r="Q818" t="str">
        <f>""</f>
        <v/>
      </c>
      <c r="U818">
        <v>236</v>
      </c>
      <c r="V818" t="s">
        <v>488</v>
      </c>
      <c r="W818" t="s">
        <v>210</v>
      </c>
      <c r="X818" t="s">
        <v>49</v>
      </c>
      <c r="Y818" t="s">
        <v>50</v>
      </c>
    </row>
    <row r="819" spans="1:25">
      <c r="A819">
        <v>13529</v>
      </c>
      <c r="B819" t="s">
        <v>25</v>
      </c>
      <c r="C819" t="str">
        <f t="shared" si="25"/>
        <v>INTEGRA Saloon</v>
      </c>
      <c r="D819" t="str">
        <f t="shared" si="26"/>
        <v>1.6</v>
      </c>
      <c r="E819" t="s">
        <v>26</v>
      </c>
      <c r="F819">
        <v>198501</v>
      </c>
      <c r="G819">
        <v>199012</v>
      </c>
      <c r="H819">
        <v>74</v>
      </c>
      <c r="I819">
        <v>100</v>
      </c>
      <c r="J819">
        <v>1590</v>
      </c>
      <c r="K819">
        <v>700321</v>
      </c>
      <c r="L819" t="s">
        <v>46</v>
      </c>
      <c r="M819" t="str">
        <f>"AC1002"</f>
        <v>AC1002</v>
      </c>
      <c r="N819" t="str">
        <f>"AC1002"</f>
        <v>AC1002</v>
      </c>
      <c r="O819" t="str">
        <f>""</f>
        <v/>
      </c>
      <c r="P819" t="s">
        <v>488</v>
      </c>
      <c r="Q819" t="str">
        <f>""</f>
        <v/>
      </c>
      <c r="U819">
        <v>236</v>
      </c>
      <c r="V819" t="s">
        <v>488</v>
      </c>
      <c r="W819" t="s">
        <v>210</v>
      </c>
      <c r="X819" t="s">
        <v>49</v>
      </c>
      <c r="Y819" t="s">
        <v>50</v>
      </c>
    </row>
    <row r="820" spans="1:25">
      <c r="A820">
        <v>13529</v>
      </c>
      <c r="B820" t="s">
        <v>25</v>
      </c>
      <c r="C820" t="str">
        <f t="shared" si="25"/>
        <v>INTEGRA Saloon</v>
      </c>
      <c r="D820" t="str">
        <f t="shared" si="26"/>
        <v>1.6</v>
      </c>
      <c r="E820" t="s">
        <v>26</v>
      </c>
      <c r="F820">
        <v>198501</v>
      </c>
      <c r="G820">
        <v>199012</v>
      </c>
      <c r="H820">
        <v>74</v>
      </c>
      <c r="I820">
        <v>100</v>
      </c>
      <c r="J820">
        <v>1590</v>
      </c>
      <c r="K820">
        <v>2292899</v>
      </c>
      <c r="L820" t="s">
        <v>489</v>
      </c>
      <c r="M820" t="str">
        <f>"DRC43001"</f>
        <v>DRC43001</v>
      </c>
      <c r="N820" t="str">
        <f>"DRC43001"</f>
        <v>DRC43001</v>
      </c>
      <c r="O820" t="str">
        <f>""</f>
        <v/>
      </c>
      <c r="P820" t="s">
        <v>488</v>
      </c>
      <c r="Q820" t="str">
        <f>""</f>
        <v/>
      </c>
      <c r="U820">
        <v>236</v>
      </c>
      <c r="V820" t="s">
        <v>488</v>
      </c>
      <c r="W820" t="s">
        <v>210</v>
      </c>
      <c r="X820" t="s">
        <v>49</v>
      </c>
      <c r="Y820" t="s">
        <v>50</v>
      </c>
    </row>
    <row r="821" spans="1:25">
      <c r="A821">
        <v>13529</v>
      </c>
      <c r="B821" t="s">
        <v>25</v>
      </c>
      <c r="C821" t="str">
        <f t="shared" si="25"/>
        <v>INTEGRA Saloon</v>
      </c>
      <c r="D821" t="str">
        <f t="shared" si="26"/>
        <v>1.6</v>
      </c>
      <c r="E821" t="s">
        <v>26</v>
      </c>
      <c r="F821">
        <v>198501</v>
      </c>
      <c r="G821">
        <v>199012</v>
      </c>
      <c r="H821">
        <v>74</v>
      </c>
      <c r="I821">
        <v>100</v>
      </c>
      <c r="J821">
        <v>1590</v>
      </c>
      <c r="K821">
        <v>2292900</v>
      </c>
      <c r="L821" t="s">
        <v>489</v>
      </c>
      <c r="M821" t="str">
        <f>"DRC43001K"</f>
        <v>DRC43001K</v>
      </c>
      <c r="N821" t="str">
        <f>"DRC43001K"</f>
        <v>DRC43001K</v>
      </c>
      <c r="O821" t="str">
        <f>""</f>
        <v/>
      </c>
      <c r="P821" t="s">
        <v>488</v>
      </c>
      <c r="Q821" t="str">
        <f>""</f>
        <v/>
      </c>
      <c r="U821">
        <v>236</v>
      </c>
      <c r="V821" t="s">
        <v>488</v>
      </c>
      <c r="W821" t="s">
        <v>210</v>
      </c>
      <c r="X821" t="s">
        <v>49</v>
      </c>
      <c r="Y821" t="s">
        <v>50</v>
      </c>
    </row>
    <row r="822" spans="1:25">
      <c r="A822">
        <v>13529</v>
      </c>
      <c r="B822" t="s">
        <v>25</v>
      </c>
      <c r="C822" t="str">
        <f t="shared" si="25"/>
        <v>INTEGRA Saloon</v>
      </c>
      <c r="D822" t="str">
        <f t="shared" si="26"/>
        <v>1.6</v>
      </c>
      <c r="E822" t="s">
        <v>26</v>
      </c>
      <c r="F822">
        <v>198501</v>
      </c>
      <c r="G822">
        <v>199012</v>
      </c>
      <c r="H822">
        <v>74</v>
      </c>
      <c r="I822">
        <v>100</v>
      </c>
      <c r="J822">
        <v>1590</v>
      </c>
      <c r="K822">
        <v>2292901</v>
      </c>
      <c r="L822" t="s">
        <v>489</v>
      </c>
      <c r="M822" t="str">
        <f>"DRC43002"</f>
        <v>DRC43002</v>
      </c>
      <c r="N822" t="str">
        <f>"DRC43002"</f>
        <v>DRC43002</v>
      </c>
      <c r="O822" t="str">
        <f>""</f>
        <v/>
      </c>
      <c r="P822" t="s">
        <v>488</v>
      </c>
      <c r="Q822" t="str">
        <f>""</f>
        <v/>
      </c>
      <c r="U822">
        <v>236</v>
      </c>
      <c r="V822" t="s">
        <v>488</v>
      </c>
      <c r="W822" t="s">
        <v>210</v>
      </c>
      <c r="X822" t="s">
        <v>49</v>
      </c>
      <c r="Y822" t="s">
        <v>50</v>
      </c>
    </row>
    <row r="823" spans="1:25">
      <c r="A823">
        <v>13529</v>
      </c>
      <c r="B823" t="s">
        <v>25</v>
      </c>
      <c r="C823" t="str">
        <f t="shared" si="25"/>
        <v>INTEGRA Saloon</v>
      </c>
      <c r="D823" t="str">
        <f t="shared" si="26"/>
        <v>1.6</v>
      </c>
      <c r="E823" t="s">
        <v>26</v>
      </c>
      <c r="F823">
        <v>198501</v>
      </c>
      <c r="G823">
        <v>199012</v>
      </c>
      <c r="H823">
        <v>74</v>
      </c>
      <c r="I823">
        <v>100</v>
      </c>
      <c r="J823">
        <v>1590</v>
      </c>
      <c r="K823">
        <v>2292902</v>
      </c>
      <c r="L823" t="s">
        <v>489</v>
      </c>
      <c r="M823" t="str">
        <f>"DRC43002K"</f>
        <v>DRC43002K</v>
      </c>
      <c r="N823" t="str">
        <f>"DRC43002K"</f>
        <v>DRC43002K</v>
      </c>
      <c r="O823" t="str">
        <f>""</f>
        <v/>
      </c>
      <c r="P823" t="s">
        <v>488</v>
      </c>
      <c r="Q823" t="str">
        <f>""</f>
        <v/>
      </c>
      <c r="U823">
        <v>236</v>
      </c>
      <c r="V823" t="s">
        <v>488</v>
      </c>
      <c r="W823" t="s">
        <v>210</v>
      </c>
      <c r="X823" t="s">
        <v>49</v>
      </c>
      <c r="Y823" t="s">
        <v>50</v>
      </c>
    </row>
    <row r="824" spans="1:25">
      <c r="A824">
        <v>13529</v>
      </c>
      <c r="B824" t="s">
        <v>25</v>
      </c>
      <c r="C824" t="str">
        <f t="shared" si="25"/>
        <v>INTEGRA Saloon</v>
      </c>
      <c r="D824" t="str">
        <f t="shared" si="26"/>
        <v>1.6</v>
      </c>
      <c r="E824" t="s">
        <v>26</v>
      </c>
      <c r="F824">
        <v>198501</v>
      </c>
      <c r="G824">
        <v>199012</v>
      </c>
      <c r="H824">
        <v>74</v>
      </c>
      <c r="I824">
        <v>100</v>
      </c>
      <c r="J824">
        <v>1590</v>
      </c>
      <c r="K824">
        <v>4641301</v>
      </c>
      <c r="L824" t="s">
        <v>472</v>
      </c>
      <c r="M824" t="str">
        <f>"G14006PC"</f>
        <v>G14006PC</v>
      </c>
      <c r="N824" t="str">
        <f>"G14006PC"</f>
        <v>G14006PC</v>
      </c>
      <c r="O824" t="str">
        <f>""</f>
        <v/>
      </c>
      <c r="P824" t="s">
        <v>488</v>
      </c>
      <c r="Q824" t="str">
        <f>""</f>
        <v/>
      </c>
      <c r="R824" t="s">
        <v>490</v>
      </c>
      <c r="S824" t="s">
        <v>491</v>
      </c>
      <c r="T824" s="1" t="s">
        <v>492</v>
      </c>
      <c r="U824">
        <v>236</v>
      </c>
      <c r="V824" t="s">
        <v>488</v>
      </c>
      <c r="W824" t="s">
        <v>210</v>
      </c>
      <c r="X824" t="s">
        <v>49</v>
      </c>
      <c r="Y824" t="s">
        <v>50</v>
      </c>
    </row>
    <row r="825" spans="1:25">
      <c r="A825">
        <v>13529</v>
      </c>
      <c r="B825" t="s">
        <v>25</v>
      </c>
      <c r="C825" t="str">
        <f t="shared" si="25"/>
        <v>INTEGRA Saloon</v>
      </c>
      <c r="D825" t="str">
        <f t="shared" si="26"/>
        <v>1.6</v>
      </c>
      <c r="E825" t="s">
        <v>26</v>
      </c>
      <c r="F825">
        <v>198501</v>
      </c>
      <c r="G825">
        <v>199012</v>
      </c>
      <c r="H825">
        <v>74</v>
      </c>
      <c r="I825">
        <v>100</v>
      </c>
      <c r="J825">
        <v>1590</v>
      </c>
      <c r="K825">
        <v>3031448</v>
      </c>
      <c r="L825" t="s">
        <v>33</v>
      </c>
      <c r="M825" t="str">
        <f>"J4234024"</f>
        <v>J4234024</v>
      </c>
      <c r="N825" t="str">
        <f>"J4234024"</f>
        <v>J4234024</v>
      </c>
      <c r="O825" t="str">
        <f>""</f>
        <v/>
      </c>
      <c r="P825" t="s">
        <v>493</v>
      </c>
      <c r="Q825" t="str">
        <f>"8711768051426"</f>
        <v>8711768051426</v>
      </c>
      <c r="S825" t="s">
        <v>494</v>
      </c>
      <c r="T825" t="s">
        <v>495</v>
      </c>
      <c r="U825">
        <v>251</v>
      </c>
      <c r="V825" t="s">
        <v>493</v>
      </c>
      <c r="W825" t="s">
        <v>496</v>
      </c>
      <c r="X825" t="s">
        <v>497</v>
      </c>
      <c r="Y825" t="s">
        <v>498</v>
      </c>
    </row>
    <row r="826" spans="1:25">
      <c r="A826">
        <v>13529</v>
      </c>
      <c r="B826" t="s">
        <v>25</v>
      </c>
      <c r="C826" t="str">
        <f t="shared" si="25"/>
        <v>INTEGRA Saloon</v>
      </c>
      <c r="D826" t="str">
        <f t="shared" si="26"/>
        <v>1.6</v>
      </c>
      <c r="E826" t="s">
        <v>26</v>
      </c>
      <c r="F826">
        <v>198501</v>
      </c>
      <c r="G826">
        <v>199012</v>
      </c>
      <c r="H826">
        <v>74</v>
      </c>
      <c r="I826">
        <v>100</v>
      </c>
      <c r="J826">
        <v>1590</v>
      </c>
      <c r="K826">
        <v>3031449</v>
      </c>
      <c r="L826" t="s">
        <v>33</v>
      </c>
      <c r="M826" t="str">
        <f>"J4234025"</f>
        <v>J4234025</v>
      </c>
      <c r="N826" t="str">
        <f>"J4234025"</f>
        <v>J4234025</v>
      </c>
      <c r="O826" t="str">
        <f>""</f>
        <v/>
      </c>
      <c r="P826" t="s">
        <v>493</v>
      </c>
      <c r="Q826" t="str">
        <f>"8711768069995"</f>
        <v>8711768069995</v>
      </c>
      <c r="S826" t="s">
        <v>499</v>
      </c>
      <c r="T826" t="s">
        <v>500</v>
      </c>
      <c r="U826">
        <v>251</v>
      </c>
      <c r="V826" t="s">
        <v>493</v>
      </c>
      <c r="W826" t="s">
        <v>496</v>
      </c>
      <c r="X826" t="s">
        <v>497</v>
      </c>
      <c r="Y826" t="s">
        <v>498</v>
      </c>
    </row>
    <row r="827" spans="1:25">
      <c r="A827">
        <v>13529</v>
      </c>
      <c r="B827" t="s">
        <v>25</v>
      </c>
      <c r="C827" t="str">
        <f t="shared" si="25"/>
        <v>INTEGRA Saloon</v>
      </c>
      <c r="D827" t="str">
        <f t="shared" si="26"/>
        <v>1.6</v>
      </c>
      <c r="E827" t="s">
        <v>26</v>
      </c>
      <c r="F827">
        <v>198501</v>
      </c>
      <c r="G827">
        <v>199012</v>
      </c>
      <c r="H827">
        <v>74</v>
      </c>
      <c r="I827">
        <v>100</v>
      </c>
      <c r="J827">
        <v>1590</v>
      </c>
      <c r="K827">
        <v>3683880</v>
      </c>
      <c r="L827" t="s">
        <v>501</v>
      </c>
      <c r="M827" t="str">
        <f>"514969"</f>
        <v>514969</v>
      </c>
      <c r="N827" t="str">
        <f>"514969"</f>
        <v>514969</v>
      </c>
      <c r="O827" t="str">
        <f>""</f>
        <v/>
      </c>
      <c r="P827" t="s">
        <v>493</v>
      </c>
      <c r="Q827" t="str">
        <f>""</f>
        <v/>
      </c>
      <c r="R827" t="s">
        <v>502</v>
      </c>
      <c r="T827" t="s">
        <v>503</v>
      </c>
      <c r="U827">
        <v>251</v>
      </c>
      <c r="V827" t="s">
        <v>493</v>
      </c>
      <c r="W827" t="s">
        <v>496</v>
      </c>
      <c r="X827" t="s">
        <v>497</v>
      </c>
      <c r="Y827" t="s">
        <v>498</v>
      </c>
    </row>
    <row r="828" spans="1:25">
      <c r="A828">
        <v>13529</v>
      </c>
      <c r="B828" t="s">
        <v>25</v>
      </c>
      <c r="C828" t="str">
        <f t="shared" si="25"/>
        <v>INTEGRA Saloon</v>
      </c>
      <c r="D828" t="str">
        <f t="shared" si="26"/>
        <v>1.6</v>
      </c>
      <c r="E828" t="s">
        <v>26</v>
      </c>
      <c r="F828">
        <v>198501</v>
      </c>
      <c r="G828">
        <v>199012</v>
      </c>
      <c r="H828">
        <v>74</v>
      </c>
      <c r="I828">
        <v>100</v>
      </c>
      <c r="J828">
        <v>1590</v>
      </c>
      <c r="K828">
        <v>4239591</v>
      </c>
      <c r="L828" t="s">
        <v>504</v>
      </c>
      <c r="M828" t="str">
        <f>"J44002AYMT"</f>
        <v>J44002AYMT</v>
      </c>
      <c r="N828" t="str">
        <f>"J44002AYMT"</f>
        <v>J44002AYMT</v>
      </c>
      <c r="O828" t="str">
        <f>""</f>
        <v/>
      </c>
      <c r="P828" t="s">
        <v>493</v>
      </c>
      <c r="Q828" t="str">
        <f>""</f>
        <v/>
      </c>
      <c r="S828" t="s">
        <v>505</v>
      </c>
      <c r="T828" t="s">
        <v>506</v>
      </c>
      <c r="U828">
        <v>251</v>
      </c>
      <c r="V828" t="s">
        <v>493</v>
      </c>
      <c r="W828" t="s">
        <v>496</v>
      </c>
      <c r="X828" t="s">
        <v>497</v>
      </c>
      <c r="Y828" t="s">
        <v>498</v>
      </c>
    </row>
    <row r="829" spans="1:25">
      <c r="A829">
        <v>13529</v>
      </c>
      <c r="B829" t="s">
        <v>25</v>
      </c>
      <c r="C829" t="str">
        <f t="shared" si="25"/>
        <v>INTEGRA Saloon</v>
      </c>
      <c r="D829" t="str">
        <f t="shared" si="26"/>
        <v>1.6</v>
      </c>
      <c r="E829" t="s">
        <v>26</v>
      </c>
      <c r="F829">
        <v>198501</v>
      </c>
      <c r="G829">
        <v>199012</v>
      </c>
      <c r="H829">
        <v>74</v>
      </c>
      <c r="I829">
        <v>100</v>
      </c>
      <c r="J829">
        <v>1590</v>
      </c>
      <c r="K829">
        <v>4407796</v>
      </c>
      <c r="L829" t="s">
        <v>507</v>
      </c>
      <c r="M829" t="str">
        <f>"8737048SX"</f>
        <v>8737048SX</v>
      </c>
      <c r="N829" t="str">
        <f>"87-37048-SX"</f>
        <v>87-37048-SX</v>
      </c>
      <c r="O829" t="str">
        <f>""</f>
        <v/>
      </c>
      <c r="P829" t="s">
        <v>493</v>
      </c>
      <c r="Q829" t="str">
        <f>""</f>
        <v/>
      </c>
      <c r="R829" t="s">
        <v>508</v>
      </c>
      <c r="T829" t="s">
        <v>509</v>
      </c>
      <c r="U829">
        <v>251</v>
      </c>
      <c r="V829" t="s">
        <v>493</v>
      </c>
      <c r="W829" t="s">
        <v>496</v>
      </c>
      <c r="X829" t="s">
        <v>497</v>
      </c>
      <c r="Y829" t="s">
        <v>498</v>
      </c>
    </row>
    <row r="830" spans="1:25">
      <c r="A830">
        <v>13529</v>
      </c>
      <c r="B830" t="s">
        <v>25</v>
      </c>
      <c r="C830" t="str">
        <f t="shared" si="25"/>
        <v>INTEGRA Saloon</v>
      </c>
      <c r="D830" t="str">
        <f t="shared" si="26"/>
        <v>1.6</v>
      </c>
      <c r="E830" t="s">
        <v>26</v>
      </c>
      <c r="F830">
        <v>198501</v>
      </c>
      <c r="G830">
        <v>199012</v>
      </c>
      <c r="H830">
        <v>74</v>
      </c>
      <c r="I830">
        <v>100</v>
      </c>
      <c r="J830">
        <v>1590</v>
      </c>
      <c r="K830">
        <v>953972</v>
      </c>
      <c r="L830" t="s">
        <v>218</v>
      </c>
      <c r="M830" t="str">
        <f>"PRH3235"</f>
        <v>PRH3235</v>
      </c>
      <c r="N830" t="str">
        <f>"PRH3235"</f>
        <v>PRH3235</v>
      </c>
      <c r="O830" t="str">
        <f>""</f>
        <v/>
      </c>
      <c r="P830" t="s">
        <v>510</v>
      </c>
      <c r="Q830" t="str">
        <f>""</f>
        <v/>
      </c>
      <c r="R830" t="s">
        <v>511</v>
      </c>
      <c r="S830" t="s">
        <v>512</v>
      </c>
      <c r="T830" t="s">
        <v>513</v>
      </c>
      <c r="U830">
        <v>258</v>
      </c>
      <c r="V830" t="s">
        <v>510</v>
      </c>
      <c r="W830" t="s">
        <v>514</v>
      </c>
      <c r="X830" t="s">
        <v>224</v>
      </c>
      <c r="Y830" t="s">
        <v>510</v>
      </c>
    </row>
    <row r="831" spans="1:25">
      <c r="A831">
        <v>13529</v>
      </c>
      <c r="B831" t="s">
        <v>25</v>
      </c>
      <c r="C831" t="str">
        <f t="shared" si="25"/>
        <v>INTEGRA Saloon</v>
      </c>
      <c r="D831" t="str">
        <f t="shared" si="26"/>
        <v>1.6</v>
      </c>
      <c r="E831" t="s">
        <v>26</v>
      </c>
      <c r="F831">
        <v>198501</v>
      </c>
      <c r="G831">
        <v>199012</v>
      </c>
      <c r="H831">
        <v>74</v>
      </c>
      <c r="I831">
        <v>100</v>
      </c>
      <c r="J831">
        <v>1590</v>
      </c>
      <c r="K831">
        <v>1893710</v>
      </c>
      <c r="L831" t="s">
        <v>231</v>
      </c>
      <c r="M831" t="str">
        <f>"M28007"</f>
        <v>M28007</v>
      </c>
      <c r="N831" t="str">
        <f>"M 28 007"</f>
        <v>M 28 007</v>
      </c>
      <c r="O831" t="str">
        <f>""</f>
        <v/>
      </c>
      <c r="P831" t="s">
        <v>510</v>
      </c>
      <c r="Q831" t="str">
        <f>"8432509609736"</f>
        <v>8432509609736</v>
      </c>
      <c r="R831" t="s">
        <v>515</v>
      </c>
      <c r="S831" t="s">
        <v>516</v>
      </c>
      <c r="T831" t="s">
        <v>517</v>
      </c>
      <c r="U831">
        <v>258</v>
      </c>
      <c r="V831" t="s">
        <v>510</v>
      </c>
      <c r="W831" t="s">
        <v>514</v>
      </c>
      <c r="X831" t="s">
        <v>224</v>
      </c>
      <c r="Y831" t="s">
        <v>510</v>
      </c>
    </row>
    <row r="832" spans="1:25">
      <c r="A832">
        <v>13529</v>
      </c>
      <c r="B832" t="s">
        <v>25</v>
      </c>
      <c r="C832" t="str">
        <f t="shared" si="25"/>
        <v>INTEGRA Saloon</v>
      </c>
      <c r="D832" t="str">
        <f t="shared" si="26"/>
        <v>1.6</v>
      </c>
      <c r="E832" t="s">
        <v>26</v>
      </c>
      <c r="F832">
        <v>198501</v>
      </c>
      <c r="G832">
        <v>199012</v>
      </c>
      <c r="H832">
        <v>74</v>
      </c>
      <c r="I832">
        <v>100</v>
      </c>
      <c r="J832">
        <v>1590</v>
      </c>
      <c r="K832">
        <v>2021367</v>
      </c>
      <c r="L832" t="s">
        <v>518</v>
      </c>
      <c r="M832" t="str">
        <f>"LM60607"</f>
        <v>LM60607</v>
      </c>
      <c r="N832" t="str">
        <f>"LM60607"</f>
        <v>LM60607</v>
      </c>
      <c r="O832" t="str">
        <f>""</f>
        <v/>
      </c>
      <c r="P832" t="s">
        <v>510</v>
      </c>
      <c r="Q832" t="str">
        <f>"5012759813850"</f>
        <v>5012759813850</v>
      </c>
      <c r="R832" t="s">
        <v>519</v>
      </c>
      <c r="S832" t="s">
        <v>520</v>
      </c>
      <c r="T832" s="1" t="s">
        <v>521</v>
      </c>
      <c r="U832">
        <v>258</v>
      </c>
      <c r="V832" t="s">
        <v>510</v>
      </c>
      <c r="W832" t="s">
        <v>514</v>
      </c>
      <c r="X832" t="s">
        <v>224</v>
      </c>
      <c r="Y832" t="s">
        <v>510</v>
      </c>
    </row>
    <row r="833" spans="1:25">
      <c r="A833">
        <v>13529</v>
      </c>
      <c r="B833" t="s">
        <v>25</v>
      </c>
      <c r="C833" t="str">
        <f t="shared" si="25"/>
        <v>INTEGRA Saloon</v>
      </c>
      <c r="D833" t="str">
        <f t="shared" si="26"/>
        <v>1.6</v>
      </c>
      <c r="E833" t="s">
        <v>26</v>
      </c>
      <c r="F833">
        <v>198501</v>
      </c>
      <c r="G833">
        <v>199012</v>
      </c>
      <c r="H833">
        <v>74</v>
      </c>
      <c r="I833">
        <v>100</v>
      </c>
      <c r="J833">
        <v>1590</v>
      </c>
      <c r="K833">
        <v>2787244</v>
      </c>
      <c r="L833" t="s">
        <v>236</v>
      </c>
      <c r="M833" t="str">
        <f>"1614"</f>
        <v>1614</v>
      </c>
      <c r="N833" t="str">
        <f>"1614"</f>
        <v>1614</v>
      </c>
      <c r="O833" t="str">
        <f>"P21660"</f>
        <v>P21660</v>
      </c>
      <c r="P833" t="s">
        <v>510</v>
      </c>
      <c r="Q833" t="str">
        <f>"8032532022504"</f>
        <v>8032532022504</v>
      </c>
      <c r="R833" t="s">
        <v>522</v>
      </c>
      <c r="S833" t="s">
        <v>516</v>
      </c>
      <c r="T833" s="1" t="s">
        <v>523</v>
      </c>
      <c r="U833">
        <v>258</v>
      </c>
      <c r="V833" t="s">
        <v>510</v>
      </c>
      <c r="W833" t="s">
        <v>514</v>
      </c>
      <c r="X833" t="s">
        <v>224</v>
      </c>
      <c r="Y833" t="s">
        <v>510</v>
      </c>
    </row>
    <row r="834" spans="1:25">
      <c r="A834">
        <v>13529</v>
      </c>
      <c r="B834" t="s">
        <v>25</v>
      </c>
      <c r="C834" t="str">
        <f t="shared" ref="C834:C897" si="27">"INTEGRA Saloon"</f>
        <v>INTEGRA Saloon</v>
      </c>
      <c r="D834" t="str">
        <f t="shared" si="26"/>
        <v>1.6</v>
      </c>
      <c r="E834" t="s">
        <v>26</v>
      </c>
      <c r="F834">
        <v>198501</v>
      </c>
      <c r="G834">
        <v>199012</v>
      </c>
      <c r="H834">
        <v>74</v>
      </c>
      <c r="I834">
        <v>100</v>
      </c>
      <c r="J834">
        <v>1590</v>
      </c>
      <c r="K834">
        <v>2997222</v>
      </c>
      <c r="L834" t="s">
        <v>51</v>
      </c>
      <c r="M834" t="str">
        <f>"5323"</f>
        <v>5323</v>
      </c>
      <c r="N834" t="str">
        <f>"5323"</f>
        <v>5323</v>
      </c>
      <c r="O834" t="str">
        <f>""</f>
        <v/>
      </c>
      <c r="P834" t="s">
        <v>510</v>
      </c>
      <c r="Q834" t="str">
        <f>""</f>
        <v/>
      </c>
      <c r="R834" t="s">
        <v>524</v>
      </c>
      <c r="T834" t="s">
        <v>525</v>
      </c>
      <c r="U834">
        <v>258</v>
      </c>
      <c r="V834" t="s">
        <v>510</v>
      </c>
      <c r="W834" t="s">
        <v>514</v>
      </c>
      <c r="X834" t="s">
        <v>224</v>
      </c>
      <c r="Y834" t="s">
        <v>510</v>
      </c>
    </row>
    <row r="835" spans="1:25">
      <c r="A835">
        <v>13529</v>
      </c>
      <c r="B835" t="s">
        <v>25</v>
      </c>
      <c r="C835" t="str">
        <f t="shared" si="27"/>
        <v>INTEGRA Saloon</v>
      </c>
      <c r="D835" t="str">
        <f t="shared" si="26"/>
        <v>1.6</v>
      </c>
      <c r="E835" t="s">
        <v>26</v>
      </c>
      <c r="F835">
        <v>198501</v>
      </c>
      <c r="G835">
        <v>199012</v>
      </c>
      <c r="H835">
        <v>74</v>
      </c>
      <c r="I835">
        <v>100</v>
      </c>
      <c r="J835">
        <v>1590</v>
      </c>
      <c r="K835">
        <v>3203248</v>
      </c>
      <c r="L835" t="s">
        <v>394</v>
      </c>
      <c r="M835" t="str">
        <f>"T2248"</f>
        <v>T2248</v>
      </c>
      <c r="N835" t="str">
        <f>"T2248"</f>
        <v>T2248</v>
      </c>
      <c r="O835" t="str">
        <f>""</f>
        <v/>
      </c>
      <c r="P835" t="s">
        <v>510</v>
      </c>
      <c r="Q835" t="str">
        <f>""</f>
        <v/>
      </c>
      <c r="R835" t="s">
        <v>526</v>
      </c>
      <c r="T835" t="s">
        <v>527</v>
      </c>
      <c r="U835">
        <v>258</v>
      </c>
      <c r="V835" t="s">
        <v>510</v>
      </c>
      <c r="W835" t="s">
        <v>514</v>
      </c>
      <c r="X835" t="s">
        <v>224</v>
      </c>
      <c r="Y835" t="s">
        <v>510</v>
      </c>
    </row>
    <row r="836" spans="1:25">
      <c r="A836">
        <v>13529</v>
      </c>
      <c r="B836" t="s">
        <v>25</v>
      </c>
      <c r="C836" t="str">
        <f t="shared" si="27"/>
        <v>INTEGRA Saloon</v>
      </c>
      <c r="D836" t="str">
        <f t="shared" si="26"/>
        <v>1.6</v>
      </c>
      <c r="E836" t="s">
        <v>26</v>
      </c>
      <c r="F836">
        <v>198501</v>
      </c>
      <c r="G836">
        <v>199012</v>
      </c>
      <c r="H836">
        <v>74</v>
      </c>
      <c r="I836">
        <v>100</v>
      </c>
      <c r="J836">
        <v>1590</v>
      </c>
      <c r="K836">
        <v>3246802</v>
      </c>
      <c r="L836" t="s">
        <v>199</v>
      </c>
      <c r="M836" t="str">
        <f>"B1614"</f>
        <v>B1614</v>
      </c>
      <c r="N836" t="str">
        <f>"B1614"</f>
        <v>B1614</v>
      </c>
      <c r="O836" t="str">
        <f>""</f>
        <v/>
      </c>
      <c r="P836" t="s">
        <v>510</v>
      </c>
      <c r="Q836" t="str">
        <f>""</f>
        <v/>
      </c>
      <c r="R836" t="s">
        <v>528</v>
      </c>
      <c r="S836" t="s">
        <v>516</v>
      </c>
      <c r="T836" s="1" t="s">
        <v>529</v>
      </c>
      <c r="U836">
        <v>258</v>
      </c>
      <c r="V836" t="s">
        <v>510</v>
      </c>
      <c r="W836" t="s">
        <v>514</v>
      </c>
      <c r="X836" t="s">
        <v>224</v>
      </c>
      <c r="Y836" t="s">
        <v>510</v>
      </c>
    </row>
    <row r="837" spans="1:25">
      <c r="A837">
        <v>13529</v>
      </c>
      <c r="B837" t="s">
        <v>25</v>
      </c>
      <c r="C837" t="str">
        <f t="shared" si="27"/>
        <v>INTEGRA Saloon</v>
      </c>
      <c r="D837" t="str">
        <f t="shared" si="26"/>
        <v>1.6</v>
      </c>
      <c r="E837" t="s">
        <v>26</v>
      </c>
      <c r="F837">
        <v>198501</v>
      </c>
      <c r="G837">
        <v>199012</v>
      </c>
      <c r="H837">
        <v>74</v>
      </c>
      <c r="I837">
        <v>100</v>
      </c>
      <c r="J837">
        <v>1590</v>
      </c>
      <c r="K837">
        <v>4049023</v>
      </c>
      <c r="L837" t="s">
        <v>426</v>
      </c>
      <c r="M837" t="str">
        <f>"6212925"</f>
        <v>6212925</v>
      </c>
      <c r="N837" t="str">
        <f>"621.2925"</f>
        <v>621.2925</v>
      </c>
      <c r="O837" t="str">
        <f>""</f>
        <v/>
      </c>
      <c r="P837" t="s">
        <v>510</v>
      </c>
      <c r="Q837" t="str">
        <f>"8432509012673"</f>
        <v>8432509012673</v>
      </c>
      <c r="R837" t="s">
        <v>530</v>
      </c>
      <c r="S837" t="s">
        <v>531</v>
      </c>
      <c r="T837" s="1" t="s">
        <v>1350</v>
      </c>
      <c r="U837">
        <v>258</v>
      </c>
      <c r="V837" t="s">
        <v>510</v>
      </c>
      <c r="W837" t="s">
        <v>514</v>
      </c>
      <c r="X837" t="s">
        <v>224</v>
      </c>
      <c r="Y837" t="s">
        <v>510</v>
      </c>
    </row>
    <row r="838" spans="1:25">
      <c r="A838">
        <v>13529</v>
      </c>
      <c r="B838" t="s">
        <v>25</v>
      </c>
      <c r="C838" t="str">
        <f t="shared" si="27"/>
        <v>INTEGRA Saloon</v>
      </c>
      <c r="D838" t="str">
        <f t="shared" si="26"/>
        <v>1.6</v>
      </c>
      <c r="E838" t="s">
        <v>26</v>
      </c>
      <c r="F838">
        <v>198501</v>
      </c>
      <c r="G838">
        <v>199012</v>
      </c>
      <c r="H838">
        <v>74</v>
      </c>
      <c r="I838">
        <v>100</v>
      </c>
      <c r="J838">
        <v>1590</v>
      </c>
      <c r="K838">
        <v>4268539</v>
      </c>
      <c r="L838" t="s">
        <v>436</v>
      </c>
      <c r="M838" t="str">
        <f>"AM1004"</f>
        <v>AM1004</v>
      </c>
      <c r="N838" t="str">
        <f>"AM1004"</f>
        <v>AM1004</v>
      </c>
      <c r="O838" t="str">
        <f>""</f>
        <v/>
      </c>
      <c r="P838" t="s">
        <v>510</v>
      </c>
      <c r="Q838" t="str">
        <f>""</f>
        <v/>
      </c>
      <c r="R838" t="s">
        <v>533</v>
      </c>
      <c r="T838" s="1" t="s">
        <v>534</v>
      </c>
      <c r="U838">
        <v>258</v>
      </c>
      <c r="V838" t="s">
        <v>510</v>
      </c>
      <c r="W838" t="s">
        <v>514</v>
      </c>
      <c r="X838" t="s">
        <v>224</v>
      </c>
      <c r="Y838" t="s">
        <v>510</v>
      </c>
    </row>
    <row r="839" spans="1:25">
      <c r="A839">
        <v>13529</v>
      </c>
      <c r="B839" t="s">
        <v>25</v>
      </c>
      <c r="C839" t="str">
        <f t="shared" si="27"/>
        <v>INTEGRA Saloon</v>
      </c>
      <c r="D839" t="str">
        <f t="shared" si="26"/>
        <v>1.6</v>
      </c>
      <c r="E839" t="s">
        <v>26</v>
      </c>
      <c r="F839">
        <v>198501</v>
      </c>
      <c r="G839">
        <v>199012</v>
      </c>
      <c r="H839">
        <v>74</v>
      </c>
      <c r="I839">
        <v>100</v>
      </c>
      <c r="J839">
        <v>1590</v>
      </c>
      <c r="K839">
        <v>1113096</v>
      </c>
      <c r="L839" t="s">
        <v>1305</v>
      </c>
      <c r="M839" t="str">
        <f>"120013210"</f>
        <v>120013210</v>
      </c>
      <c r="N839" t="str">
        <f>"120 0132 10"</f>
        <v>120 0132 10</v>
      </c>
      <c r="O839" t="str">
        <f>""</f>
        <v/>
      </c>
      <c r="P839" t="s">
        <v>1351</v>
      </c>
      <c r="Q839" t="str">
        <f>"4005108053381"</f>
        <v>4005108053381</v>
      </c>
      <c r="R839" t="s">
        <v>1352</v>
      </c>
      <c r="T839" s="1" t="s">
        <v>1353</v>
      </c>
      <c r="U839">
        <v>261</v>
      </c>
      <c r="V839" t="s">
        <v>1351</v>
      </c>
      <c r="W839" t="s">
        <v>1354</v>
      </c>
      <c r="X839" t="s">
        <v>204</v>
      </c>
    </row>
    <row r="840" spans="1:25">
      <c r="A840">
        <v>13529</v>
      </c>
      <c r="B840" t="s">
        <v>25</v>
      </c>
      <c r="C840" t="str">
        <f t="shared" si="27"/>
        <v>INTEGRA Saloon</v>
      </c>
      <c r="D840" t="str">
        <f t="shared" si="26"/>
        <v>1.6</v>
      </c>
      <c r="E840" t="s">
        <v>26</v>
      </c>
      <c r="F840">
        <v>198501</v>
      </c>
      <c r="G840">
        <v>199012</v>
      </c>
      <c r="H840">
        <v>74</v>
      </c>
      <c r="I840">
        <v>100</v>
      </c>
      <c r="J840">
        <v>1590</v>
      </c>
      <c r="K840">
        <v>1115508</v>
      </c>
      <c r="L840" t="s">
        <v>1305</v>
      </c>
      <c r="M840" t="str">
        <f>"320013710"</f>
        <v>320013710</v>
      </c>
      <c r="N840" t="str">
        <f>"320 0137 10"</f>
        <v>320 0137 10</v>
      </c>
      <c r="O840" t="str">
        <f>""</f>
        <v/>
      </c>
      <c r="P840" t="s">
        <v>1355</v>
      </c>
      <c r="Q840" t="str">
        <f>"4005108027689"</f>
        <v>4005108027689</v>
      </c>
      <c r="R840" t="s">
        <v>1356</v>
      </c>
      <c r="T840" s="1" t="s">
        <v>1357</v>
      </c>
      <c r="U840">
        <v>262</v>
      </c>
      <c r="V840" t="s">
        <v>1355</v>
      </c>
      <c r="W840" t="s">
        <v>1355</v>
      </c>
      <c r="X840" t="s">
        <v>204</v>
      </c>
    </row>
    <row r="841" spans="1:25">
      <c r="A841">
        <v>13529</v>
      </c>
      <c r="B841" t="s">
        <v>25</v>
      </c>
      <c r="C841" t="str">
        <f t="shared" si="27"/>
        <v>INTEGRA Saloon</v>
      </c>
      <c r="D841" t="str">
        <f t="shared" si="26"/>
        <v>1.6</v>
      </c>
      <c r="E841" t="s">
        <v>26</v>
      </c>
      <c r="F841">
        <v>198501</v>
      </c>
      <c r="G841">
        <v>199012</v>
      </c>
      <c r="H841">
        <v>74</v>
      </c>
      <c r="I841">
        <v>100</v>
      </c>
      <c r="J841">
        <v>1590</v>
      </c>
      <c r="K841">
        <v>3883409</v>
      </c>
      <c r="L841" t="s">
        <v>1358</v>
      </c>
      <c r="M841" t="str">
        <f>"20011"</f>
        <v>20011</v>
      </c>
      <c r="N841" t="str">
        <f>"20.011"</f>
        <v>20.011</v>
      </c>
      <c r="O841" t="str">
        <f>""</f>
        <v/>
      </c>
      <c r="P841" t="s">
        <v>1355</v>
      </c>
      <c r="Q841" t="str">
        <f>""</f>
        <v/>
      </c>
      <c r="R841" t="s">
        <v>1359</v>
      </c>
      <c r="T841" t="s">
        <v>1360</v>
      </c>
      <c r="U841">
        <v>262</v>
      </c>
      <c r="V841" t="s">
        <v>1355</v>
      </c>
      <c r="W841" t="s">
        <v>1355</v>
      </c>
      <c r="X841" t="s">
        <v>204</v>
      </c>
    </row>
    <row r="842" spans="1:25">
      <c r="A842">
        <v>13529</v>
      </c>
      <c r="B842" t="s">
        <v>25</v>
      </c>
      <c r="C842" t="str">
        <f t="shared" si="27"/>
        <v>INTEGRA Saloon</v>
      </c>
      <c r="D842" t="str">
        <f t="shared" si="26"/>
        <v>1.6</v>
      </c>
      <c r="E842" t="s">
        <v>26</v>
      </c>
      <c r="F842">
        <v>198501</v>
      </c>
      <c r="G842">
        <v>199012</v>
      </c>
      <c r="H842">
        <v>74</v>
      </c>
      <c r="I842">
        <v>100</v>
      </c>
      <c r="J842">
        <v>1590</v>
      </c>
      <c r="K842">
        <v>3032849</v>
      </c>
      <c r="L842" t="s">
        <v>33</v>
      </c>
      <c r="M842" t="str">
        <f>"J4904003"</f>
        <v>J4904003</v>
      </c>
      <c r="N842" t="str">
        <f>"J4904003"</f>
        <v>J4904003</v>
      </c>
      <c r="O842" t="str">
        <f>""</f>
        <v/>
      </c>
      <c r="P842" t="s">
        <v>535</v>
      </c>
      <c r="Q842" t="str">
        <f>"8711768099503"</f>
        <v>8711768099503</v>
      </c>
      <c r="R842" t="s">
        <v>536</v>
      </c>
      <c r="S842" t="s">
        <v>537</v>
      </c>
      <c r="T842" s="1" t="s">
        <v>538</v>
      </c>
      <c r="U842">
        <v>273</v>
      </c>
      <c r="V842" t="s">
        <v>535</v>
      </c>
      <c r="W842" t="s">
        <v>498</v>
      </c>
      <c r="X842" t="s">
        <v>497</v>
      </c>
    </row>
    <row r="843" spans="1:25">
      <c r="A843">
        <v>13529</v>
      </c>
      <c r="B843" t="s">
        <v>25</v>
      </c>
      <c r="C843" t="str">
        <f t="shared" si="27"/>
        <v>INTEGRA Saloon</v>
      </c>
      <c r="D843" t="str">
        <f t="shared" si="26"/>
        <v>1.6</v>
      </c>
      <c r="E843" t="s">
        <v>26</v>
      </c>
      <c r="F843">
        <v>198501</v>
      </c>
      <c r="G843">
        <v>199012</v>
      </c>
      <c r="H843">
        <v>74</v>
      </c>
      <c r="I843">
        <v>100</v>
      </c>
      <c r="J843">
        <v>1590</v>
      </c>
      <c r="K843">
        <v>3033017</v>
      </c>
      <c r="L843" t="s">
        <v>33</v>
      </c>
      <c r="M843" t="str">
        <f>"J4914003"</f>
        <v>J4914003</v>
      </c>
      <c r="N843" t="str">
        <f>"J4914003"</f>
        <v>J4914003</v>
      </c>
      <c r="O843" t="str">
        <f>""</f>
        <v/>
      </c>
      <c r="P843" t="s">
        <v>535</v>
      </c>
      <c r="Q843" t="str">
        <f>"8711768100216"</f>
        <v>8711768100216</v>
      </c>
      <c r="R843" t="s">
        <v>536</v>
      </c>
      <c r="S843" t="s">
        <v>539</v>
      </c>
      <c r="T843" s="1" t="s">
        <v>540</v>
      </c>
      <c r="U843">
        <v>273</v>
      </c>
      <c r="V843" t="s">
        <v>535</v>
      </c>
      <c r="W843" t="s">
        <v>498</v>
      </c>
      <c r="X843" t="s">
        <v>497</v>
      </c>
    </row>
    <row r="844" spans="1:25">
      <c r="A844">
        <v>13529</v>
      </c>
      <c r="B844" t="s">
        <v>25</v>
      </c>
      <c r="C844" t="str">
        <f t="shared" si="27"/>
        <v>INTEGRA Saloon</v>
      </c>
      <c r="D844" t="str">
        <f t="shared" si="26"/>
        <v>1.6</v>
      </c>
      <c r="E844" t="s">
        <v>26</v>
      </c>
      <c r="F844">
        <v>198501</v>
      </c>
      <c r="G844">
        <v>199012</v>
      </c>
      <c r="H844">
        <v>74</v>
      </c>
      <c r="I844">
        <v>100</v>
      </c>
      <c r="J844">
        <v>1590</v>
      </c>
      <c r="K844">
        <v>3964730</v>
      </c>
      <c r="L844" t="s">
        <v>27</v>
      </c>
      <c r="M844" t="str">
        <f>"H57901"</f>
        <v>H57901</v>
      </c>
      <c r="N844" t="str">
        <f>"H579-01"</f>
        <v>H579-01</v>
      </c>
      <c r="O844" t="str">
        <f>""</f>
        <v/>
      </c>
      <c r="P844" t="s">
        <v>535</v>
      </c>
      <c r="Q844" t="str">
        <f>"8718993218983"</f>
        <v>8718993218983</v>
      </c>
      <c r="R844" t="s">
        <v>541</v>
      </c>
      <c r="S844" t="s">
        <v>542</v>
      </c>
      <c r="T844" s="1" t="s">
        <v>543</v>
      </c>
      <c r="U844">
        <v>273</v>
      </c>
      <c r="V844" t="s">
        <v>535</v>
      </c>
      <c r="W844" t="s">
        <v>498</v>
      </c>
      <c r="X844" t="s">
        <v>497</v>
      </c>
    </row>
    <row r="845" spans="1:25">
      <c r="A845">
        <v>13529</v>
      </c>
      <c r="B845" t="s">
        <v>25</v>
      </c>
      <c r="C845" t="str">
        <f t="shared" si="27"/>
        <v>INTEGRA Saloon</v>
      </c>
      <c r="D845" t="str">
        <f t="shared" si="26"/>
        <v>1.6</v>
      </c>
      <c r="E845" t="s">
        <v>26</v>
      </c>
      <c r="F845">
        <v>198501</v>
      </c>
      <c r="G845">
        <v>199012</v>
      </c>
      <c r="H845">
        <v>74</v>
      </c>
      <c r="I845">
        <v>100</v>
      </c>
      <c r="J845">
        <v>1590</v>
      </c>
      <c r="K845">
        <v>3964731</v>
      </c>
      <c r="L845" t="s">
        <v>27</v>
      </c>
      <c r="M845" t="str">
        <f>"H58001"</f>
        <v>H58001</v>
      </c>
      <c r="N845" t="str">
        <f>"H580-01"</f>
        <v>H580-01</v>
      </c>
      <c r="O845" t="str">
        <f>""</f>
        <v/>
      </c>
      <c r="P845" t="s">
        <v>535</v>
      </c>
      <c r="Q845" t="str">
        <f>"8718993218990"</f>
        <v>8718993218990</v>
      </c>
      <c r="R845" t="s">
        <v>544</v>
      </c>
      <c r="S845" t="s">
        <v>545</v>
      </c>
      <c r="T845" s="1" t="s">
        <v>546</v>
      </c>
      <c r="U845">
        <v>273</v>
      </c>
      <c r="V845" t="s">
        <v>535</v>
      </c>
      <c r="W845" t="s">
        <v>498</v>
      </c>
      <c r="X845" t="s">
        <v>497</v>
      </c>
    </row>
    <row r="846" spans="1:25">
      <c r="A846">
        <v>13529</v>
      </c>
      <c r="B846" t="s">
        <v>25</v>
      </c>
      <c r="C846" t="str">
        <f t="shared" si="27"/>
        <v>INTEGRA Saloon</v>
      </c>
      <c r="D846" t="str">
        <f t="shared" si="26"/>
        <v>1.6</v>
      </c>
      <c r="E846" t="s">
        <v>26</v>
      </c>
      <c r="F846">
        <v>198501</v>
      </c>
      <c r="G846">
        <v>199012</v>
      </c>
      <c r="H846">
        <v>74</v>
      </c>
      <c r="I846">
        <v>100</v>
      </c>
      <c r="J846">
        <v>1590</v>
      </c>
      <c r="K846">
        <v>3029731</v>
      </c>
      <c r="L846" t="s">
        <v>33</v>
      </c>
      <c r="M846" t="str">
        <f>"J3234001"</f>
        <v>J3234001</v>
      </c>
      <c r="N846" t="str">
        <f>"J3234001"</f>
        <v>J3234001</v>
      </c>
      <c r="O846" t="str">
        <f>""</f>
        <v/>
      </c>
      <c r="P846" t="s">
        <v>547</v>
      </c>
      <c r="Q846" t="str">
        <f>"8711768205096"</f>
        <v>8711768205096</v>
      </c>
      <c r="R846" t="s">
        <v>548</v>
      </c>
      <c r="S846" t="s">
        <v>549</v>
      </c>
      <c r="T846" s="1" t="s">
        <v>550</v>
      </c>
      <c r="U846">
        <v>277</v>
      </c>
      <c r="V846" t="s">
        <v>547</v>
      </c>
      <c r="W846" t="s">
        <v>514</v>
      </c>
      <c r="X846" t="s">
        <v>224</v>
      </c>
      <c r="Y846" t="s">
        <v>547</v>
      </c>
    </row>
    <row r="847" spans="1:25">
      <c r="A847">
        <v>13529</v>
      </c>
      <c r="B847" t="s">
        <v>25</v>
      </c>
      <c r="C847" t="str">
        <f t="shared" si="27"/>
        <v>INTEGRA Saloon</v>
      </c>
      <c r="D847" t="str">
        <f t="shared" si="26"/>
        <v>1.6</v>
      </c>
      <c r="E847" t="s">
        <v>26</v>
      </c>
      <c r="F847">
        <v>198501</v>
      </c>
      <c r="G847">
        <v>199012</v>
      </c>
      <c r="H847">
        <v>74</v>
      </c>
      <c r="I847">
        <v>100</v>
      </c>
      <c r="J847">
        <v>1590</v>
      </c>
      <c r="K847">
        <v>3029839</v>
      </c>
      <c r="L847" t="s">
        <v>33</v>
      </c>
      <c r="M847" t="str">
        <f>"J3244000"</f>
        <v>J3244000</v>
      </c>
      <c r="N847" t="str">
        <f>"J3244000"</f>
        <v>J3244000</v>
      </c>
      <c r="O847" t="str">
        <f>""</f>
        <v/>
      </c>
      <c r="P847" t="s">
        <v>547</v>
      </c>
      <c r="Q847" t="str">
        <f>"8711768063658"</f>
        <v>8711768063658</v>
      </c>
      <c r="R847" t="s">
        <v>548</v>
      </c>
      <c r="S847" t="s">
        <v>551</v>
      </c>
      <c r="T847" s="1" t="s">
        <v>552</v>
      </c>
      <c r="U847">
        <v>277</v>
      </c>
      <c r="V847" t="s">
        <v>547</v>
      </c>
      <c r="W847" t="s">
        <v>514</v>
      </c>
      <c r="X847" t="s">
        <v>224</v>
      </c>
      <c r="Y847" t="s">
        <v>547</v>
      </c>
    </row>
    <row r="848" spans="1:25">
      <c r="A848">
        <v>13529</v>
      </c>
      <c r="B848" t="s">
        <v>25</v>
      </c>
      <c r="C848" t="str">
        <f t="shared" si="27"/>
        <v>INTEGRA Saloon</v>
      </c>
      <c r="D848" t="str">
        <f t="shared" si="26"/>
        <v>1.6</v>
      </c>
      <c r="E848" t="s">
        <v>26</v>
      </c>
      <c r="F848">
        <v>198501</v>
      </c>
      <c r="G848">
        <v>199012</v>
      </c>
      <c r="H848">
        <v>74</v>
      </c>
      <c r="I848">
        <v>100</v>
      </c>
      <c r="J848">
        <v>1590</v>
      </c>
      <c r="K848">
        <v>3963780</v>
      </c>
      <c r="L848" t="s">
        <v>27</v>
      </c>
      <c r="M848" t="str">
        <f>"H07301"</f>
        <v>H07301</v>
      </c>
      <c r="N848" t="str">
        <f>"H073-01"</f>
        <v>H073-01</v>
      </c>
      <c r="O848" t="str">
        <f>""</f>
        <v/>
      </c>
      <c r="P848" t="s">
        <v>547</v>
      </c>
      <c r="Q848" t="str">
        <f>"8718993208243"</f>
        <v>8718993208243</v>
      </c>
      <c r="R848" t="s">
        <v>553</v>
      </c>
      <c r="S848" t="s">
        <v>551</v>
      </c>
      <c r="T848" s="1" t="s">
        <v>554</v>
      </c>
      <c r="U848">
        <v>277</v>
      </c>
      <c r="V848" t="s">
        <v>547</v>
      </c>
      <c r="W848" t="s">
        <v>514</v>
      </c>
      <c r="X848" t="s">
        <v>224</v>
      </c>
      <c r="Y848" t="s">
        <v>547</v>
      </c>
    </row>
    <row r="849" spans="1:25">
      <c r="A849">
        <v>13529</v>
      </c>
      <c r="B849" t="s">
        <v>25</v>
      </c>
      <c r="C849" t="str">
        <f t="shared" si="27"/>
        <v>INTEGRA Saloon</v>
      </c>
      <c r="D849" t="str">
        <f t="shared" si="26"/>
        <v>1.6</v>
      </c>
      <c r="E849" t="s">
        <v>26</v>
      </c>
      <c r="F849">
        <v>198501</v>
      </c>
      <c r="G849">
        <v>199012</v>
      </c>
      <c r="H849">
        <v>74</v>
      </c>
      <c r="I849">
        <v>100</v>
      </c>
      <c r="J849">
        <v>1590</v>
      </c>
      <c r="K849">
        <v>3963781</v>
      </c>
      <c r="L849" t="s">
        <v>27</v>
      </c>
      <c r="M849" t="str">
        <f>"H07302"</f>
        <v>H07302</v>
      </c>
      <c r="N849" t="str">
        <f>"H073-02"</f>
        <v>H073-02</v>
      </c>
      <c r="O849" t="str">
        <f>""</f>
        <v/>
      </c>
      <c r="P849" t="s">
        <v>547</v>
      </c>
      <c r="Q849" t="str">
        <f>"8718993208250"</f>
        <v>8718993208250</v>
      </c>
      <c r="R849" t="s">
        <v>555</v>
      </c>
      <c r="S849" t="s">
        <v>549</v>
      </c>
      <c r="T849" s="1" t="s">
        <v>556</v>
      </c>
      <c r="U849">
        <v>277</v>
      </c>
      <c r="V849" t="s">
        <v>547</v>
      </c>
      <c r="W849" t="s">
        <v>514</v>
      </c>
      <c r="X849" t="s">
        <v>224</v>
      </c>
      <c r="Y849" t="s">
        <v>547</v>
      </c>
    </row>
    <row r="850" spans="1:25">
      <c r="A850">
        <v>13529</v>
      </c>
      <c r="B850" t="s">
        <v>25</v>
      </c>
      <c r="C850" t="str">
        <f t="shared" si="27"/>
        <v>INTEGRA Saloon</v>
      </c>
      <c r="D850" t="str">
        <f t="shared" si="26"/>
        <v>1.6</v>
      </c>
      <c r="E850" t="s">
        <v>26</v>
      </c>
      <c r="F850">
        <v>198501</v>
      </c>
      <c r="G850">
        <v>199012</v>
      </c>
      <c r="H850">
        <v>74</v>
      </c>
      <c r="I850">
        <v>100</v>
      </c>
      <c r="J850">
        <v>1590</v>
      </c>
      <c r="K850">
        <v>4200225</v>
      </c>
      <c r="L850" t="s">
        <v>255</v>
      </c>
      <c r="M850" t="str">
        <f>"C54001ABE"</f>
        <v>C54001ABE</v>
      </c>
      <c r="N850" t="str">
        <f>"C54001ABE"</f>
        <v>C54001ABE</v>
      </c>
      <c r="O850" t="str">
        <f>""</f>
        <v/>
      </c>
      <c r="P850" t="s">
        <v>547</v>
      </c>
      <c r="Q850" t="str">
        <f>""</f>
        <v/>
      </c>
      <c r="R850" t="s">
        <v>557</v>
      </c>
      <c r="S850" t="s">
        <v>549</v>
      </c>
      <c r="T850" s="1" t="s">
        <v>558</v>
      </c>
      <c r="U850">
        <v>277</v>
      </c>
      <c r="V850" t="s">
        <v>547</v>
      </c>
      <c r="W850" t="s">
        <v>514</v>
      </c>
      <c r="X850" t="s">
        <v>224</v>
      </c>
      <c r="Y850" t="s">
        <v>547</v>
      </c>
    </row>
    <row r="851" spans="1:25">
      <c r="A851">
        <v>13529</v>
      </c>
      <c r="B851" t="s">
        <v>25</v>
      </c>
      <c r="C851" t="str">
        <f t="shared" si="27"/>
        <v>INTEGRA Saloon</v>
      </c>
      <c r="D851" t="str">
        <f t="shared" si="26"/>
        <v>1.6</v>
      </c>
      <c r="E851" t="s">
        <v>26</v>
      </c>
      <c r="F851">
        <v>198501</v>
      </c>
      <c r="G851">
        <v>199012</v>
      </c>
      <c r="H851">
        <v>74</v>
      </c>
      <c r="I851">
        <v>100</v>
      </c>
      <c r="J851">
        <v>1590</v>
      </c>
      <c r="K851">
        <v>4200226</v>
      </c>
      <c r="L851" t="s">
        <v>255</v>
      </c>
      <c r="M851" t="str">
        <f>"C54002ABE"</f>
        <v>C54002ABE</v>
      </c>
      <c r="N851" t="str">
        <f>"C54002ABE"</f>
        <v>C54002ABE</v>
      </c>
      <c r="O851" t="str">
        <f>""</f>
        <v/>
      </c>
      <c r="P851" t="s">
        <v>547</v>
      </c>
      <c r="Q851" t="str">
        <f>""</f>
        <v/>
      </c>
      <c r="R851" t="s">
        <v>557</v>
      </c>
      <c r="S851" t="s">
        <v>551</v>
      </c>
      <c r="T851" s="1" t="s">
        <v>559</v>
      </c>
      <c r="U851">
        <v>277</v>
      </c>
      <c r="V851" t="s">
        <v>547</v>
      </c>
      <c r="W851" t="s">
        <v>514</v>
      </c>
      <c r="X851" t="s">
        <v>224</v>
      </c>
      <c r="Y851" t="s">
        <v>547</v>
      </c>
    </row>
    <row r="852" spans="1:25">
      <c r="A852">
        <v>13529</v>
      </c>
      <c r="B852" t="s">
        <v>25</v>
      </c>
      <c r="C852" t="str">
        <f t="shared" si="27"/>
        <v>INTEGRA Saloon</v>
      </c>
      <c r="D852" t="str">
        <f t="shared" si="26"/>
        <v>1.6</v>
      </c>
      <c r="E852" t="s">
        <v>26</v>
      </c>
      <c r="F852">
        <v>198501</v>
      </c>
      <c r="G852">
        <v>199012</v>
      </c>
      <c r="H852">
        <v>74</v>
      </c>
      <c r="I852">
        <v>100</v>
      </c>
      <c r="J852">
        <v>1590</v>
      </c>
      <c r="K852">
        <v>568766</v>
      </c>
      <c r="L852" t="s">
        <v>560</v>
      </c>
      <c r="M852" t="str">
        <f>"TF450L"</f>
        <v>TF450L</v>
      </c>
      <c r="N852" t="str">
        <f>"TF450L"</f>
        <v>TF450L</v>
      </c>
      <c r="O852" t="str">
        <f>""</f>
        <v/>
      </c>
      <c r="P852" t="s">
        <v>561</v>
      </c>
      <c r="Q852" t="str">
        <f>""</f>
        <v/>
      </c>
      <c r="S852" t="s">
        <v>562</v>
      </c>
      <c r="U852">
        <v>298</v>
      </c>
      <c r="V852" t="s">
        <v>561</v>
      </c>
      <c r="W852" t="s">
        <v>561</v>
      </c>
      <c r="X852" t="s">
        <v>563</v>
      </c>
    </row>
    <row r="853" spans="1:25">
      <c r="A853">
        <v>13529</v>
      </c>
      <c r="B853" t="s">
        <v>25</v>
      </c>
      <c r="C853" t="str">
        <f t="shared" si="27"/>
        <v>INTEGRA Saloon</v>
      </c>
      <c r="D853" t="str">
        <f t="shared" si="26"/>
        <v>1.6</v>
      </c>
      <c r="E853" t="s">
        <v>26</v>
      </c>
      <c r="F853">
        <v>198501</v>
      </c>
      <c r="G853">
        <v>199012</v>
      </c>
      <c r="H853">
        <v>74</v>
      </c>
      <c r="I853">
        <v>100</v>
      </c>
      <c r="J853">
        <v>1590</v>
      </c>
      <c r="K853">
        <v>568767</v>
      </c>
      <c r="L853" t="s">
        <v>560</v>
      </c>
      <c r="M853" t="str">
        <f>"TF450R"</f>
        <v>TF450R</v>
      </c>
      <c r="N853" t="str">
        <f>"TF450R"</f>
        <v>TF450R</v>
      </c>
      <c r="O853" t="str">
        <f>""</f>
        <v/>
      </c>
      <c r="P853" t="s">
        <v>561</v>
      </c>
      <c r="Q853" t="str">
        <f>""</f>
        <v/>
      </c>
      <c r="S853" t="s">
        <v>564</v>
      </c>
      <c r="U853">
        <v>298</v>
      </c>
      <c r="V853" t="s">
        <v>561</v>
      </c>
      <c r="W853" t="s">
        <v>561</v>
      </c>
      <c r="X853" t="s">
        <v>563</v>
      </c>
    </row>
    <row r="854" spans="1:25">
      <c r="A854">
        <v>13529</v>
      </c>
      <c r="B854" t="s">
        <v>25</v>
      </c>
      <c r="C854" t="str">
        <f t="shared" si="27"/>
        <v>INTEGRA Saloon</v>
      </c>
      <c r="D854" t="str">
        <f t="shared" si="26"/>
        <v>1.6</v>
      </c>
      <c r="E854" t="s">
        <v>26</v>
      </c>
      <c r="F854">
        <v>198501</v>
      </c>
      <c r="G854">
        <v>199012</v>
      </c>
      <c r="H854">
        <v>74</v>
      </c>
      <c r="I854">
        <v>100</v>
      </c>
      <c r="J854">
        <v>1590</v>
      </c>
      <c r="K854">
        <v>952409</v>
      </c>
      <c r="L854" t="s">
        <v>218</v>
      </c>
      <c r="M854" t="str">
        <f>"PR45"</f>
        <v>PR45</v>
      </c>
      <c r="N854" t="str">
        <f>"PR-45"</f>
        <v>PR-45</v>
      </c>
      <c r="O854" t="str">
        <f>""</f>
        <v/>
      </c>
      <c r="P854" t="s">
        <v>561</v>
      </c>
      <c r="Q854" t="str">
        <f>""</f>
        <v/>
      </c>
      <c r="R854" t="s">
        <v>565</v>
      </c>
      <c r="S854" t="s">
        <v>566</v>
      </c>
      <c r="T854" s="1" t="s">
        <v>567</v>
      </c>
      <c r="U854">
        <v>298</v>
      </c>
      <c r="V854" t="s">
        <v>561</v>
      </c>
      <c r="W854" t="s">
        <v>561</v>
      </c>
      <c r="X854" t="s">
        <v>563</v>
      </c>
    </row>
    <row r="855" spans="1:25">
      <c r="A855">
        <v>13529</v>
      </c>
      <c r="B855" t="s">
        <v>25</v>
      </c>
      <c r="C855" t="str">
        <f t="shared" si="27"/>
        <v>INTEGRA Saloon</v>
      </c>
      <c r="D855" t="str">
        <f t="shared" si="26"/>
        <v>1.6</v>
      </c>
      <c r="E855" t="s">
        <v>26</v>
      </c>
      <c r="F855">
        <v>198501</v>
      </c>
      <c r="G855">
        <v>199012</v>
      </c>
      <c r="H855">
        <v>74</v>
      </c>
      <c r="I855">
        <v>100</v>
      </c>
      <c r="J855">
        <v>1590</v>
      </c>
      <c r="K855">
        <v>952410</v>
      </c>
      <c r="L855" t="s">
        <v>218</v>
      </c>
      <c r="M855" t="str">
        <f>"PR45F"</f>
        <v>PR45F</v>
      </c>
      <c r="N855" t="str">
        <f>"PR-45F"</f>
        <v>PR-45F</v>
      </c>
      <c r="O855" t="str">
        <f>""</f>
        <v/>
      </c>
      <c r="P855" t="s">
        <v>561</v>
      </c>
      <c r="Q855" t="str">
        <f>""</f>
        <v/>
      </c>
      <c r="R855" t="s">
        <v>565</v>
      </c>
      <c r="S855" t="s">
        <v>568</v>
      </c>
      <c r="T855" s="1" t="s">
        <v>569</v>
      </c>
      <c r="U855">
        <v>298</v>
      </c>
      <c r="V855" t="s">
        <v>561</v>
      </c>
      <c r="W855" t="s">
        <v>561</v>
      </c>
      <c r="X855" t="s">
        <v>563</v>
      </c>
    </row>
    <row r="856" spans="1:25">
      <c r="A856">
        <v>13529</v>
      </c>
      <c r="B856" t="s">
        <v>25</v>
      </c>
      <c r="C856" t="str">
        <f t="shared" si="27"/>
        <v>INTEGRA Saloon</v>
      </c>
      <c r="D856" t="str">
        <f t="shared" si="26"/>
        <v>1.6</v>
      </c>
      <c r="E856" t="s">
        <v>26</v>
      </c>
      <c r="F856">
        <v>198501</v>
      </c>
      <c r="G856">
        <v>199012</v>
      </c>
      <c r="H856">
        <v>74</v>
      </c>
      <c r="I856">
        <v>100</v>
      </c>
      <c r="J856">
        <v>1590</v>
      </c>
      <c r="K856">
        <v>952411</v>
      </c>
      <c r="L856" t="s">
        <v>218</v>
      </c>
      <c r="M856" t="str">
        <f>"PR45H"</f>
        <v>PR45H</v>
      </c>
      <c r="N856" t="str">
        <f>"PR-45H"</f>
        <v>PR-45H</v>
      </c>
      <c r="O856" t="str">
        <f>""</f>
        <v/>
      </c>
      <c r="P856" t="s">
        <v>561</v>
      </c>
      <c r="Q856" t="str">
        <f>""</f>
        <v/>
      </c>
      <c r="S856" t="s">
        <v>568</v>
      </c>
      <c r="U856">
        <v>298</v>
      </c>
      <c r="V856" t="s">
        <v>561</v>
      </c>
      <c r="W856" t="s">
        <v>561</v>
      </c>
      <c r="X856" t="s">
        <v>563</v>
      </c>
    </row>
    <row r="857" spans="1:25">
      <c r="A857">
        <v>13529</v>
      </c>
      <c r="B857" t="s">
        <v>25</v>
      </c>
      <c r="C857" t="str">
        <f t="shared" si="27"/>
        <v>INTEGRA Saloon</v>
      </c>
      <c r="D857" t="str">
        <f t="shared" si="26"/>
        <v>1.6</v>
      </c>
      <c r="E857" t="s">
        <v>26</v>
      </c>
      <c r="F857">
        <v>198501</v>
      </c>
      <c r="G857">
        <v>199012</v>
      </c>
      <c r="H857">
        <v>74</v>
      </c>
      <c r="I857">
        <v>100</v>
      </c>
      <c r="J857">
        <v>1590</v>
      </c>
      <c r="K857">
        <v>2928185</v>
      </c>
      <c r="L857" t="s">
        <v>560</v>
      </c>
      <c r="M857" t="str">
        <f>"35180"</f>
        <v>35180</v>
      </c>
      <c r="N857" t="str">
        <f>"35-180"</f>
        <v>35-180</v>
      </c>
      <c r="O857" t="str">
        <f>""</f>
        <v/>
      </c>
      <c r="P857" t="s">
        <v>561</v>
      </c>
      <c r="Q857" t="str">
        <f>""</f>
        <v/>
      </c>
      <c r="R857" t="s">
        <v>565</v>
      </c>
      <c r="S857" t="s">
        <v>566</v>
      </c>
      <c r="T857" s="1" t="s">
        <v>570</v>
      </c>
      <c r="U857">
        <v>298</v>
      </c>
      <c r="V857" t="s">
        <v>561</v>
      </c>
      <c r="W857" t="s">
        <v>561</v>
      </c>
      <c r="X857" t="s">
        <v>563</v>
      </c>
    </row>
    <row r="858" spans="1:25">
      <c r="A858">
        <v>13529</v>
      </c>
      <c r="B858" t="s">
        <v>25</v>
      </c>
      <c r="C858" t="str">
        <f t="shared" si="27"/>
        <v>INTEGRA Saloon</v>
      </c>
      <c r="D858" t="str">
        <f t="shared" si="26"/>
        <v>1.6</v>
      </c>
      <c r="E858" t="s">
        <v>26</v>
      </c>
      <c r="F858">
        <v>198501</v>
      </c>
      <c r="G858">
        <v>199012</v>
      </c>
      <c r="H858">
        <v>74</v>
      </c>
      <c r="I858">
        <v>100</v>
      </c>
      <c r="J858">
        <v>1590</v>
      </c>
      <c r="K858">
        <v>2928202</v>
      </c>
      <c r="L858" t="s">
        <v>560</v>
      </c>
      <c r="M858" t="str">
        <f>"EF450"</f>
        <v>EF450</v>
      </c>
      <c r="N858" t="str">
        <f>"EF450"</f>
        <v>EF450</v>
      </c>
      <c r="O858" t="str">
        <f>""</f>
        <v/>
      </c>
      <c r="P858" t="s">
        <v>561</v>
      </c>
      <c r="Q858" t="str">
        <f>""</f>
        <v/>
      </c>
      <c r="R858" t="s">
        <v>565</v>
      </c>
      <c r="S858" t="s">
        <v>568</v>
      </c>
      <c r="T858" s="1" t="s">
        <v>571</v>
      </c>
      <c r="U858">
        <v>298</v>
      </c>
      <c r="V858" t="s">
        <v>561</v>
      </c>
      <c r="W858" t="s">
        <v>561</v>
      </c>
      <c r="X858" t="s">
        <v>563</v>
      </c>
    </row>
    <row r="859" spans="1:25">
      <c r="A859">
        <v>13529</v>
      </c>
      <c r="B859" t="s">
        <v>25</v>
      </c>
      <c r="C859" t="str">
        <f t="shared" si="27"/>
        <v>INTEGRA Saloon</v>
      </c>
      <c r="D859" t="str">
        <f t="shared" si="26"/>
        <v>1.6</v>
      </c>
      <c r="E859" t="s">
        <v>26</v>
      </c>
      <c r="F859">
        <v>198501</v>
      </c>
      <c r="G859">
        <v>199012</v>
      </c>
      <c r="H859">
        <v>74</v>
      </c>
      <c r="I859">
        <v>100</v>
      </c>
      <c r="J859">
        <v>1590</v>
      </c>
      <c r="K859">
        <v>2928348</v>
      </c>
      <c r="L859" t="s">
        <v>560</v>
      </c>
      <c r="M859" t="str">
        <f>"FX450"</f>
        <v>FX450</v>
      </c>
      <c r="N859" t="str">
        <f>"FX450"</f>
        <v>FX450</v>
      </c>
      <c r="O859" t="str">
        <f>""</f>
        <v/>
      </c>
      <c r="P859" t="s">
        <v>561</v>
      </c>
      <c r="Q859" t="str">
        <f>""</f>
        <v/>
      </c>
      <c r="R859" t="s">
        <v>565</v>
      </c>
      <c r="S859" t="s">
        <v>572</v>
      </c>
      <c r="T859" s="1" t="s">
        <v>573</v>
      </c>
      <c r="U859">
        <v>298</v>
      </c>
      <c r="V859" t="s">
        <v>561</v>
      </c>
      <c r="W859" t="s">
        <v>561</v>
      </c>
      <c r="X859" t="s">
        <v>563</v>
      </c>
    </row>
    <row r="860" spans="1:25">
      <c r="A860">
        <v>13529</v>
      </c>
      <c r="B860" t="s">
        <v>25</v>
      </c>
      <c r="C860" t="str">
        <f t="shared" si="27"/>
        <v>INTEGRA Saloon</v>
      </c>
      <c r="D860" t="str">
        <f t="shared" si="26"/>
        <v>1.6</v>
      </c>
      <c r="E860" t="s">
        <v>26</v>
      </c>
      <c r="F860">
        <v>198501</v>
      </c>
      <c r="G860">
        <v>199012</v>
      </c>
      <c r="H860">
        <v>74</v>
      </c>
      <c r="I860">
        <v>100</v>
      </c>
      <c r="J860">
        <v>1590</v>
      </c>
      <c r="K860">
        <v>2928366</v>
      </c>
      <c r="L860" t="s">
        <v>560</v>
      </c>
      <c r="M860" t="str">
        <f>"NF450"</f>
        <v>NF450</v>
      </c>
      <c r="N860" t="str">
        <f>"NF450"</f>
        <v>NF450</v>
      </c>
      <c r="O860" t="str">
        <f>""</f>
        <v/>
      </c>
      <c r="P860" t="s">
        <v>561</v>
      </c>
      <c r="Q860" t="str">
        <f>""</f>
        <v/>
      </c>
      <c r="R860" t="s">
        <v>565</v>
      </c>
      <c r="S860" t="s">
        <v>566</v>
      </c>
      <c r="T860" t="s">
        <v>574</v>
      </c>
      <c r="U860">
        <v>298</v>
      </c>
      <c r="V860" t="s">
        <v>561</v>
      </c>
      <c r="W860" t="s">
        <v>561</v>
      </c>
      <c r="X860" t="s">
        <v>563</v>
      </c>
    </row>
    <row r="861" spans="1:25">
      <c r="A861">
        <v>13529</v>
      </c>
      <c r="B861" t="s">
        <v>25</v>
      </c>
      <c r="C861" t="str">
        <f t="shared" si="27"/>
        <v>INTEGRA Saloon</v>
      </c>
      <c r="D861" t="str">
        <f t="shared" si="26"/>
        <v>1.6</v>
      </c>
      <c r="E861" t="s">
        <v>26</v>
      </c>
      <c r="F861">
        <v>198501</v>
      </c>
      <c r="G861">
        <v>199012</v>
      </c>
      <c r="H861">
        <v>74</v>
      </c>
      <c r="I861">
        <v>100</v>
      </c>
      <c r="J861">
        <v>1590</v>
      </c>
      <c r="K861">
        <v>2928421</v>
      </c>
      <c r="L861" t="s">
        <v>560</v>
      </c>
      <c r="M861" t="str">
        <f>"T450"</f>
        <v>T450</v>
      </c>
      <c r="N861" t="str">
        <f>"T450"</f>
        <v>T450</v>
      </c>
      <c r="O861" t="str">
        <f>""</f>
        <v/>
      </c>
      <c r="P861" t="s">
        <v>561</v>
      </c>
      <c r="Q861" t="str">
        <f>""</f>
        <v/>
      </c>
      <c r="R861" t="s">
        <v>565</v>
      </c>
      <c r="S861" t="s">
        <v>568</v>
      </c>
      <c r="T861" s="1" t="s">
        <v>575</v>
      </c>
      <c r="U861">
        <v>298</v>
      </c>
      <c r="V861" t="s">
        <v>561</v>
      </c>
      <c r="W861" t="s">
        <v>561</v>
      </c>
      <c r="X861" t="s">
        <v>563</v>
      </c>
    </row>
    <row r="862" spans="1:25">
      <c r="A862">
        <v>13529</v>
      </c>
      <c r="B862" t="s">
        <v>25</v>
      </c>
      <c r="C862" t="str">
        <f t="shared" si="27"/>
        <v>INTEGRA Saloon</v>
      </c>
      <c r="D862" t="str">
        <f t="shared" si="26"/>
        <v>1.6</v>
      </c>
      <c r="E862" t="s">
        <v>26</v>
      </c>
      <c r="F862">
        <v>198501</v>
      </c>
      <c r="G862">
        <v>199012</v>
      </c>
      <c r="H862">
        <v>74</v>
      </c>
      <c r="I862">
        <v>100</v>
      </c>
      <c r="J862">
        <v>1590</v>
      </c>
      <c r="K862">
        <v>2928443</v>
      </c>
      <c r="L862" t="s">
        <v>560</v>
      </c>
      <c r="M862" t="str">
        <f>"TT450"</f>
        <v>TT450</v>
      </c>
      <c r="N862" t="str">
        <f>"TT450"</f>
        <v>TT450</v>
      </c>
      <c r="O862" t="str">
        <f>""</f>
        <v/>
      </c>
      <c r="P862" t="s">
        <v>561</v>
      </c>
      <c r="Q862" t="str">
        <f>""</f>
        <v/>
      </c>
      <c r="R862" t="s">
        <v>565</v>
      </c>
      <c r="S862" t="s">
        <v>566</v>
      </c>
      <c r="T862" t="s">
        <v>576</v>
      </c>
      <c r="U862">
        <v>298</v>
      </c>
      <c r="V862" t="s">
        <v>561</v>
      </c>
      <c r="W862" t="s">
        <v>561</v>
      </c>
      <c r="X862" t="s">
        <v>563</v>
      </c>
    </row>
    <row r="863" spans="1:25">
      <c r="A863">
        <v>13529</v>
      </c>
      <c r="B863" t="s">
        <v>25</v>
      </c>
      <c r="C863" t="str">
        <f t="shared" si="27"/>
        <v>INTEGRA Saloon</v>
      </c>
      <c r="D863" t="str">
        <f t="shared" si="26"/>
        <v>1.6</v>
      </c>
      <c r="E863" t="s">
        <v>26</v>
      </c>
      <c r="F863">
        <v>198501</v>
      </c>
      <c r="G863">
        <v>199012</v>
      </c>
      <c r="H863">
        <v>74</v>
      </c>
      <c r="I863">
        <v>100</v>
      </c>
      <c r="J863">
        <v>1590</v>
      </c>
      <c r="K863">
        <v>3041324</v>
      </c>
      <c r="L863" t="s">
        <v>33</v>
      </c>
      <c r="M863" t="str">
        <f>"UB450"</f>
        <v>UB450</v>
      </c>
      <c r="N863" t="str">
        <f>"UB450"</f>
        <v>UB450</v>
      </c>
      <c r="O863" t="str">
        <f>""</f>
        <v/>
      </c>
      <c r="P863" t="s">
        <v>561</v>
      </c>
      <c r="Q863" t="str">
        <f>"8711768154219"</f>
        <v>8711768154219</v>
      </c>
      <c r="S863" t="s">
        <v>1361</v>
      </c>
      <c r="U863">
        <v>298</v>
      </c>
      <c r="V863" t="s">
        <v>561</v>
      </c>
      <c r="W863" t="s">
        <v>561</v>
      </c>
      <c r="X863" t="s">
        <v>563</v>
      </c>
    </row>
    <row r="864" spans="1:25">
      <c r="A864">
        <v>13529</v>
      </c>
      <c r="B864" t="s">
        <v>25</v>
      </c>
      <c r="C864" t="str">
        <f t="shared" si="27"/>
        <v>INTEGRA Saloon</v>
      </c>
      <c r="D864" t="str">
        <f t="shared" si="26"/>
        <v>1.6</v>
      </c>
      <c r="E864" t="s">
        <v>26</v>
      </c>
      <c r="F864">
        <v>198501</v>
      </c>
      <c r="G864">
        <v>199012</v>
      </c>
      <c r="H864">
        <v>74</v>
      </c>
      <c r="I864">
        <v>100</v>
      </c>
      <c r="J864">
        <v>1590</v>
      </c>
      <c r="K864">
        <v>3841536</v>
      </c>
      <c r="L864" t="s">
        <v>419</v>
      </c>
      <c r="M864" t="str">
        <f>"CRF45L"</f>
        <v>CRF45L</v>
      </c>
      <c r="N864" t="str">
        <f>"CRF45L"</f>
        <v>CRF45L</v>
      </c>
      <c r="O864" t="str">
        <f>""</f>
        <v/>
      </c>
      <c r="P864" t="s">
        <v>561</v>
      </c>
      <c r="Q864" t="str">
        <f>""</f>
        <v/>
      </c>
      <c r="R864" t="s">
        <v>578</v>
      </c>
      <c r="S864" t="s">
        <v>579</v>
      </c>
      <c r="T864" t="s">
        <v>580</v>
      </c>
      <c r="U864">
        <v>298</v>
      </c>
      <c r="V864" t="s">
        <v>561</v>
      </c>
      <c r="W864" t="s">
        <v>561</v>
      </c>
      <c r="X864" t="s">
        <v>563</v>
      </c>
    </row>
    <row r="865" spans="1:25">
      <c r="A865">
        <v>13529</v>
      </c>
      <c r="B865" t="s">
        <v>25</v>
      </c>
      <c r="C865" t="str">
        <f t="shared" si="27"/>
        <v>INTEGRA Saloon</v>
      </c>
      <c r="D865" t="str">
        <f t="shared" si="26"/>
        <v>1.6</v>
      </c>
      <c r="E865" t="s">
        <v>26</v>
      </c>
      <c r="F865">
        <v>198501</v>
      </c>
      <c r="G865">
        <v>199012</v>
      </c>
      <c r="H865">
        <v>74</v>
      </c>
      <c r="I865">
        <v>100</v>
      </c>
      <c r="J865">
        <v>1590</v>
      </c>
      <c r="K865">
        <v>3841537</v>
      </c>
      <c r="L865" t="s">
        <v>419</v>
      </c>
      <c r="M865" t="str">
        <f>"CRF45R"</f>
        <v>CRF45R</v>
      </c>
      <c r="N865" t="str">
        <f>"CRF45R"</f>
        <v>CRF45R</v>
      </c>
      <c r="O865" t="str">
        <f>""</f>
        <v/>
      </c>
      <c r="P865" t="s">
        <v>561</v>
      </c>
      <c r="Q865" t="str">
        <f>""</f>
        <v/>
      </c>
      <c r="S865" t="s">
        <v>581</v>
      </c>
      <c r="U865">
        <v>298</v>
      </c>
      <c r="V865" t="s">
        <v>561</v>
      </c>
      <c r="W865" t="s">
        <v>561</v>
      </c>
      <c r="X865" t="s">
        <v>563</v>
      </c>
    </row>
    <row r="866" spans="1:25">
      <c r="A866">
        <v>13529</v>
      </c>
      <c r="B866" t="s">
        <v>25</v>
      </c>
      <c r="C866" t="str">
        <f t="shared" si="27"/>
        <v>INTEGRA Saloon</v>
      </c>
      <c r="D866" t="str">
        <f t="shared" si="26"/>
        <v>1.6</v>
      </c>
      <c r="E866" t="s">
        <v>26</v>
      </c>
      <c r="F866">
        <v>198501</v>
      </c>
      <c r="G866">
        <v>199012</v>
      </c>
      <c r="H866">
        <v>74</v>
      </c>
      <c r="I866">
        <v>100</v>
      </c>
      <c r="J866">
        <v>1590</v>
      </c>
      <c r="K866">
        <v>3842530</v>
      </c>
      <c r="L866" t="s">
        <v>419</v>
      </c>
      <c r="M866" t="str">
        <f>"CW45"</f>
        <v>CW45</v>
      </c>
      <c r="N866" t="str">
        <f>"CW45"</f>
        <v>CW45</v>
      </c>
      <c r="O866" t="str">
        <f>""</f>
        <v/>
      </c>
      <c r="P866" t="s">
        <v>561</v>
      </c>
      <c r="Q866" t="str">
        <f>""</f>
        <v/>
      </c>
      <c r="R866" t="s">
        <v>578</v>
      </c>
      <c r="S866" t="s">
        <v>581</v>
      </c>
      <c r="T866" t="s">
        <v>582</v>
      </c>
      <c r="U866">
        <v>298</v>
      </c>
      <c r="V866" t="s">
        <v>561</v>
      </c>
      <c r="W866" t="s">
        <v>561</v>
      </c>
      <c r="X866" t="s">
        <v>563</v>
      </c>
    </row>
    <row r="867" spans="1:25">
      <c r="A867">
        <v>13529</v>
      </c>
      <c r="B867" t="s">
        <v>25</v>
      </c>
      <c r="C867" t="str">
        <f t="shared" si="27"/>
        <v>INTEGRA Saloon</v>
      </c>
      <c r="D867" t="str">
        <f t="shared" si="26"/>
        <v>1.6</v>
      </c>
      <c r="E867" t="s">
        <v>26</v>
      </c>
      <c r="F867">
        <v>198501</v>
      </c>
      <c r="G867">
        <v>199012</v>
      </c>
      <c r="H867">
        <v>74</v>
      </c>
      <c r="I867">
        <v>100</v>
      </c>
      <c r="J867">
        <v>1590</v>
      </c>
      <c r="K867">
        <v>3975534</v>
      </c>
      <c r="L867" t="s">
        <v>27</v>
      </c>
      <c r="M867" t="str">
        <f>"WA018"</f>
        <v>WA018</v>
      </c>
      <c r="N867" t="str">
        <f>"WA018"</f>
        <v>WA018</v>
      </c>
      <c r="O867" t="str">
        <f>""</f>
        <v/>
      </c>
      <c r="P867" t="s">
        <v>561</v>
      </c>
      <c r="Q867" t="str">
        <f>"8718993423387"</f>
        <v>8718993423387</v>
      </c>
      <c r="R867" t="s">
        <v>583</v>
      </c>
      <c r="T867" s="1" t="s">
        <v>584</v>
      </c>
      <c r="U867">
        <v>298</v>
      </c>
      <c r="V867" t="s">
        <v>561</v>
      </c>
      <c r="W867" t="s">
        <v>561</v>
      </c>
      <c r="X867" t="s">
        <v>563</v>
      </c>
    </row>
    <row r="868" spans="1:25">
      <c r="A868">
        <v>13529</v>
      </c>
      <c r="B868" t="s">
        <v>25</v>
      </c>
      <c r="C868" t="str">
        <f t="shared" si="27"/>
        <v>INTEGRA Saloon</v>
      </c>
      <c r="D868" t="str">
        <f t="shared" si="26"/>
        <v>1.6</v>
      </c>
      <c r="E868" t="s">
        <v>26</v>
      </c>
      <c r="F868">
        <v>198501</v>
      </c>
      <c r="G868">
        <v>199012</v>
      </c>
      <c r="H868">
        <v>74</v>
      </c>
      <c r="I868">
        <v>100</v>
      </c>
      <c r="J868">
        <v>1590</v>
      </c>
      <c r="K868">
        <v>3975566</v>
      </c>
      <c r="L868" t="s">
        <v>27</v>
      </c>
      <c r="M868" t="str">
        <f>"WAF18"</f>
        <v>WAF18</v>
      </c>
      <c r="N868" t="str">
        <f>"WAF18"</f>
        <v>WAF18</v>
      </c>
      <c r="O868" t="str">
        <f>""</f>
        <v/>
      </c>
      <c r="P868" t="s">
        <v>561</v>
      </c>
      <c r="Q868" t="str">
        <f>"8718993424087"</f>
        <v>8718993424087</v>
      </c>
      <c r="R868" t="s">
        <v>585</v>
      </c>
      <c r="T868" t="s">
        <v>586</v>
      </c>
      <c r="U868">
        <v>298</v>
      </c>
      <c r="V868" t="s">
        <v>561</v>
      </c>
      <c r="W868" t="s">
        <v>561</v>
      </c>
      <c r="X868" t="s">
        <v>563</v>
      </c>
    </row>
    <row r="869" spans="1:25">
      <c r="A869">
        <v>13529</v>
      </c>
      <c r="B869" t="s">
        <v>25</v>
      </c>
      <c r="C869" t="str">
        <f t="shared" si="27"/>
        <v>INTEGRA Saloon</v>
      </c>
      <c r="D869" t="str">
        <f t="shared" si="26"/>
        <v>1.6</v>
      </c>
      <c r="E869" t="s">
        <v>26</v>
      </c>
      <c r="F869">
        <v>198501</v>
      </c>
      <c r="G869">
        <v>199012</v>
      </c>
      <c r="H869">
        <v>74</v>
      </c>
      <c r="I869">
        <v>100</v>
      </c>
      <c r="J869">
        <v>1590</v>
      </c>
      <c r="K869">
        <v>4415614</v>
      </c>
      <c r="L869" t="s">
        <v>193</v>
      </c>
      <c r="M869" t="str">
        <f>"450L"</f>
        <v>450L</v>
      </c>
      <c r="N869" t="str">
        <f>"450L"</f>
        <v>450L</v>
      </c>
      <c r="O869" t="str">
        <f>""</f>
        <v/>
      </c>
      <c r="P869" t="s">
        <v>561</v>
      </c>
      <c r="Q869" t="str">
        <f>"4905601036877"</f>
        <v>4905601036877</v>
      </c>
      <c r="R869" t="s">
        <v>587</v>
      </c>
      <c r="S869" t="s">
        <v>568</v>
      </c>
      <c r="T869" s="1" t="s">
        <v>588</v>
      </c>
      <c r="U869">
        <v>298</v>
      </c>
      <c r="V869" t="s">
        <v>561</v>
      </c>
      <c r="W869" t="s">
        <v>561</v>
      </c>
      <c r="X869" t="s">
        <v>563</v>
      </c>
    </row>
    <row r="870" spans="1:25">
      <c r="A870">
        <v>13529</v>
      </c>
      <c r="B870" t="s">
        <v>25</v>
      </c>
      <c r="C870" t="str">
        <f t="shared" si="27"/>
        <v>INTEGRA Saloon</v>
      </c>
      <c r="D870" t="str">
        <f t="shared" si="26"/>
        <v>1.6</v>
      </c>
      <c r="E870" t="s">
        <v>26</v>
      </c>
      <c r="F870">
        <v>198501</v>
      </c>
      <c r="G870">
        <v>199012</v>
      </c>
      <c r="H870">
        <v>74</v>
      </c>
      <c r="I870">
        <v>100</v>
      </c>
      <c r="J870">
        <v>1590</v>
      </c>
      <c r="K870">
        <v>4427290</v>
      </c>
      <c r="L870" t="s">
        <v>193</v>
      </c>
      <c r="M870" t="str">
        <f>"LW450"</f>
        <v>LW450</v>
      </c>
      <c r="N870" t="str">
        <f>"LW450"</f>
        <v>LW450</v>
      </c>
      <c r="O870" t="str">
        <f>""</f>
        <v/>
      </c>
      <c r="P870" t="s">
        <v>561</v>
      </c>
      <c r="Q870" t="str">
        <f>"4905601012956"</f>
        <v>4905601012956</v>
      </c>
      <c r="R870" t="s">
        <v>589</v>
      </c>
      <c r="S870" t="s">
        <v>568</v>
      </c>
      <c r="T870" s="1" t="s">
        <v>588</v>
      </c>
      <c r="U870">
        <v>298</v>
      </c>
      <c r="V870" t="s">
        <v>561</v>
      </c>
      <c r="W870" t="s">
        <v>561</v>
      </c>
      <c r="X870" t="s">
        <v>563</v>
      </c>
    </row>
    <row r="871" spans="1:25">
      <c r="A871">
        <v>13529</v>
      </c>
      <c r="B871" t="s">
        <v>25</v>
      </c>
      <c r="C871" t="str">
        <f t="shared" si="27"/>
        <v>INTEGRA Saloon</v>
      </c>
      <c r="D871" t="str">
        <f t="shared" si="26"/>
        <v>1.6</v>
      </c>
      <c r="E871" t="s">
        <v>26</v>
      </c>
      <c r="F871">
        <v>198501</v>
      </c>
      <c r="G871">
        <v>199012</v>
      </c>
      <c r="H871">
        <v>74</v>
      </c>
      <c r="I871">
        <v>100</v>
      </c>
      <c r="J871">
        <v>1590</v>
      </c>
      <c r="K871">
        <v>4427301</v>
      </c>
      <c r="L871" t="s">
        <v>193</v>
      </c>
      <c r="M871" t="str">
        <f>"LX450"</f>
        <v>LX450</v>
      </c>
      <c r="N871" t="str">
        <f>"LX450"</f>
        <v>LX450</v>
      </c>
      <c r="O871" t="str">
        <f>""</f>
        <v/>
      </c>
      <c r="P871" t="s">
        <v>561</v>
      </c>
      <c r="Q871" t="str">
        <f>"4905601059296"</f>
        <v>4905601059296</v>
      </c>
      <c r="R871" t="s">
        <v>589</v>
      </c>
      <c r="S871" t="s">
        <v>568</v>
      </c>
      <c r="T871" s="1" t="s">
        <v>590</v>
      </c>
      <c r="U871">
        <v>298</v>
      </c>
      <c r="V871" t="s">
        <v>561</v>
      </c>
      <c r="W871" t="s">
        <v>561</v>
      </c>
      <c r="X871" t="s">
        <v>563</v>
      </c>
    </row>
    <row r="872" spans="1:25">
      <c r="A872">
        <v>13529</v>
      </c>
      <c r="B872" t="s">
        <v>25</v>
      </c>
      <c r="C872" t="str">
        <f t="shared" si="27"/>
        <v>INTEGRA Saloon</v>
      </c>
      <c r="D872" t="str">
        <f t="shared" si="26"/>
        <v>1.6</v>
      </c>
      <c r="E872" t="s">
        <v>26</v>
      </c>
      <c r="F872">
        <v>198501</v>
      </c>
      <c r="G872">
        <v>199012</v>
      </c>
      <c r="H872">
        <v>74</v>
      </c>
      <c r="I872">
        <v>100</v>
      </c>
      <c r="J872">
        <v>1590</v>
      </c>
      <c r="K872">
        <v>4431507</v>
      </c>
      <c r="L872" t="s">
        <v>193</v>
      </c>
      <c r="M872" t="str">
        <f>"XF450"</f>
        <v>XF450</v>
      </c>
      <c r="N872" t="str">
        <f>"XF450"</f>
        <v>XF450</v>
      </c>
      <c r="O872" t="str">
        <f>""</f>
        <v/>
      </c>
      <c r="P872" t="s">
        <v>561</v>
      </c>
      <c r="Q872" t="str">
        <f>"4905601032411"</f>
        <v>4905601032411</v>
      </c>
      <c r="R872" t="s">
        <v>591</v>
      </c>
      <c r="S872" t="s">
        <v>566</v>
      </c>
      <c r="T872" s="1" t="s">
        <v>592</v>
      </c>
      <c r="U872">
        <v>298</v>
      </c>
      <c r="V872" t="s">
        <v>561</v>
      </c>
      <c r="W872" t="s">
        <v>561</v>
      </c>
      <c r="X872" t="s">
        <v>563</v>
      </c>
    </row>
    <row r="873" spans="1:25">
      <c r="A873">
        <v>13529</v>
      </c>
      <c r="B873" t="s">
        <v>25</v>
      </c>
      <c r="C873" t="str">
        <f t="shared" si="27"/>
        <v>INTEGRA Saloon</v>
      </c>
      <c r="D873" t="str">
        <f t="shared" si="26"/>
        <v>1.6</v>
      </c>
      <c r="E873" t="s">
        <v>26</v>
      </c>
      <c r="F873">
        <v>198501</v>
      </c>
      <c r="G873">
        <v>199012</v>
      </c>
      <c r="H873">
        <v>74</v>
      </c>
      <c r="I873">
        <v>100</v>
      </c>
      <c r="J873">
        <v>1590</v>
      </c>
      <c r="K873">
        <v>318648</v>
      </c>
      <c r="L873" t="s">
        <v>173</v>
      </c>
      <c r="M873" t="str">
        <f>"3PK715"</f>
        <v>3PK715</v>
      </c>
      <c r="N873" t="str">
        <f>"3PK715"</f>
        <v>3PK715</v>
      </c>
      <c r="O873" t="str">
        <f>"3PK715"</f>
        <v>3PK715</v>
      </c>
      <c r="P873" t="s">
        <v>593</v>
      </c>
      <c r="Q873" t="str">
        <f>"5414465355882"</f>
        <v>5414465355882</v>
      </c>
      <c r="R873" t="s">
        <v>1362</v>
      </c>
      <c r="S873" t="s">
        <v>595</v>
      </c>
      <c r="T873" s="1" t="s">
        <v>1363</v>
      </c>
      <c r="U873">
        <v>305</v>
      </c>
      <c r="V873" t="s">
        <v>593</v>
      </c>
      <c r="W873" t="s">
        <v>177</v>
      </c>
      <c r="X873" t="s">
        <v>178</v>
      </c>
      <c r="Y873" t="s">
        <v>597</v>
      </c>
    </row>
    <row r="874" spans="1:25">
      <c r="A874">
        <v>13529</v>
      </c>
      <c r="B874" t="s">
        <v>25</v>
      </c>
      <c r="C874" t="str">
        <f t="shared" si="27"/>
        <v>INTEGRA Saloon</v>
      </c>
      <c r="D874" t="str">
        <f t="shared" ref="D874:D937" si="28">"1.6"</f>
        <v>1.6</v>
      </c>
      <c r="E874" t="s">
        <v>26</v>
      </c>
      <c r="F874">
        <v>198501</v>
      </c>
      <c r="G874">
        <v>199012</v>
      </c>
      <c r="H874">
        <v>74</v>
      </c>
      <c r="I874">
        <v>100</v>
      </c>
      <c r="J874">
        <v>1590</v>
      </c>
      <c r="K874">
        <v>1882479</v>
      </c>
      <c r="L874" t="s">
        <v>1364</v>
      </c>
      <c r="M874" t="str">
        <f>"3PK715"</f>
        <v>3PK715</v>
      </c>
      <c r="N874" t="str">
        <f>"3 PK 715"</f>
        <v>3 PK 715</v>
      </c>
      <c r="O874" t="str">
        <f>""</f>
        <v/>
      </c>
      <c r="P874" t="s">
        <v>593</v>
      </c>
      <c r="Q874" t="str">
        <f>"4014486330069"</f>
        <v>4014486330069</v>
      </c>
      <c r="R874" t="s">
        <v>1365</v>
      </c>
      <c r="S874" t="s">
        <v>1366</v>
      </c>
      <c r="T874" s="1" t="s">
        <v>1367</v>
      </c>
      <c r="U874">
        <v>305</v>
      </c>
      <c r="V874" t="s">
        <v>593</v>
      </c>
      <c r="W874" t="s">
        <v>177</v>
      </c>
      <c r="X874" t="s">
        <v>178</v>
      </c>
      <c r="Y874" t="s">
        <v>597</v>
      </c>
    </row>
    <row r="875" spans="1:25">
      <c r="A875">
        <v>13529</v>
      </c>
      <c r="B875" t="s">
        <v>25</v>
      </c>
      <c r="C875" t="str">
        <f t="shared" si="27"/>
        <v>INTEGRA Saloon</v>
      </c>
      <c r="D875" t="str">
        <f t="shared" si="28"/>
        <v>1.6</v>
      </c>
      <c r="E875" t="s">
        <v>26</v>
      </c>
      <c r="F875">
        <v>198501</v>
      </c>
      <c r="G875">
        <v>199012</v>
      </c>
      <c r="H875">
        <v>74</v>
      </c>
      <c r="I875">
        <v>100</v>
      </c>
      <c r="J875">
        <v>1590</v>
      </c>
      <c r="K875">
        <v>2231265</v>
      </c>
      <c r="L875" t="s">
        <v>181</v>
      </c>
      <c r="M875" t="str">
        <f>"8640300715"</f>
        <v>8640300715</v>
      </c>
      <c r="N875" t="str">
        <f>"8640 300715"</f>
        <v>8640 300715</v>
      </c>
      <c r="O875" t="str">
        <f>""</f>
        <v/>
      </c>
      <c r="P875" t="s">
        <v>593</v>
      </c>
      <c r="Q875" t="str">
        <f>"5709147021798"</f>
        <v>5709147021798</v>
      </c>
      <c r="R875" t="s">
        <v>1362</v>
      </c>
      <c r="S875" t="s">
        <v>595</v>
      </c>
      <c r="T875" s="1" t="s">
        <v>1368</v>
      </c>
      <c r="U875">
        <v>305</v>
      </c>
      <c r="V875" t="s">
        <v>593</v>
      </c>
      <c r="W875" t="s">
        <v>177</v>
      </c>
      <c r="X875" t="s">
        <v>178</v>
      </c>
      <c r="Y875" t="s">
        <v>597</v>
      </c>
    </row>
    <row r="876" spans="1:25">
      <c r="A876">
        <v>13529</v>
      </c>
      <c r="B876" t="s">
        <v>25</v>
      </c>
      <c r="C876" t="str">
        <f t="shared" si="27"/>
        <v>INTEGRA Saloon</v>
      </c>
      <c r="D876" t="str">
        <f t="shared" si="28"/>
        <v>1.6</v>
      </c>
      <c r="E876" t="s">
        <v>26</v>
      </c>
      <c r="F876">
        <v>198501</v>
      </c>
      <c r="G876">
        <v>199012</v>
      </c>
      <c r="H876">
        <v>74</v>
      </c>
      <c r="I876">
        <v>100</v>
      </c>
      <c r="J876">
        <v>1590</v>
      </c>
      <c r="K876">
        <v>3975286</v>
      </c>
      <c r="L876" t="s">
        <v>27</v>
      </c>
      <c r="M876" t="str">
        <f>"VM30715"</f>
        <v>VM30715</v>
      </c>
      <c r="N876" t="str">
        <f>"VM3-0715"</f>
        <v>VM3-0715</v>
      </c>
      <c r="O876" t="str">
        <f>""</f>
        <v/>
      </c>
      <c r="P876" t="s">
        <v>593</v>
      </c>
      <c r="Q876" t="str">
        <f>"8718993418949"</f>
        <v>8718993418949</v>
      </c>
      <c r="R876" t="s">
        <v>1369</v>
      </c>
      <c r="T876" t="s">
        <v>1370</v>
      </c>
      <c r="U876">
        <v>305</v>
      </c>
      <c r="V876" t="s">
        <v>593</v>
      </c>
      <c r="W876" t="s">
        <v>177</v>
      </c>
      <c r="X876" t="s">
        <v>178</v>
      </c>
      <c r="Y876" t="s">
        <v>597</v>
      </c>
    </row>
    <row r="877" spans="1:25">
      <c r="A877">
        <v>13529</v>
      </c>
      <c r="B877" t="s">
        <v>25</v>
      </c>
      <c r="C877" t="str">
        <f t="shared" si="27"/>
        <v>INTEGRA Saloon</v>
      </c>
      <c r="D877" t="str">
        <f t="shared" si="28"/>
        <v>1.6</v>
      </c>
      <c r="E877" t="s">
        <v>26</v>
      </c>
      <c r="F877">
        <v>198501</v>
      </c>
      <c r="G877">
        <v>199012</v>
      </c>
      <c r="H877">
        <v>74</v>
      </c>
      <c r="I877">
        <v>100</v>
      </c>
      <c r="J877">
        <v>1590</v>
      </c>
      <c r="K877">
        <v>4277966</v>
      </c>
      <c r="L877" t="s">
        <v>129</v>
      </c>
      <c r="M877" t="str">
        <f>"3PK715"</f>
        <v>3PK715</v>
      </c>
      <c r="N877" t="str">
        <f>"3PK715"</f>
        <v>3PK715</v>
      </c>
      <c r="O877" t="str">
        <f>""</f>
        <v/>
      </c>
      <c r="P877" t="s">
        <v>593</v>
      </c>
      <c r="Q877" t="str">
        <f>"8421779540092"</f>
        <v>8421779540092</v>
      </c>
      <c r="R877" t="s">
        <v>1365</v>
      </c>
      <c r="S877" t="s">
        <v>1366</v>
      </c>
      <c r="T877" t="s">
        <v>1371</v>
      </c>
      <c r="U877">
        <v>305</v>
      </c>
      <c r="V877" t="s">
        <v>593</v>
      </c>
      <c r="W877" t="s">
        <v>177</v>
      </c>
      <c r="X877" t="s">
        <v>178</v>
      </c>
      <c r="Y877" t="s">
        <v>597</v>
      </c>
    </row>
    <row r="878" spans="1:25">
      <c r="A878">
        <v>13529</v>
      </c>
      <c r="B878" t="s">
        <v>25</v>
      </c>
      <c r="C878" t="str">
        <f t="shared" si="27"/>
        <v>INTEGRA Saloon</v>
      </c>
      <c r="D878" t="str">
        <f t="shared" si="28"/>
        <v>1.6</v>
      </c>
      <c r="E878" t="s">
        <v>26</v>
      </c>
      <c r="F878">
        <v>198501</v>
      </c>
      <c r="G878">
        <v>199012</v>
      </c>
      <c r="H878">
        <v>74</v>
      </c>
      <c r="I878">
        <v>100</v>
      </c>
      <c r="J878">
        <v>1590</v>
      </c>
      <c r="K878">
        <v>61842</v>
      </c>
      <c r="L878" t="s">
        <v>181</v>
      </c>
      <c r="M878" t="str">
        <f>"86455170XS"</f>
        <v>86455170XS</v>
      </c>
      <c r="N878" t="str">
        <f>"8645 5170xs"</f>
        <v>8645 5170xs</v>
      </c>
      <c r="O878" t="str">
        <f>""</f>
        <v/>
      </c>
      <c r="P878" t="s">
        <v>599</v>
      </c>
      <c r="Q878" t="str">
        <f>""</f>
        <v/>
      </c>
      <c r="S878" t="s">
        <v>600</v>
      </c>
      <c r="U878">
        <v>306</v>
      </c>
      <c r="V878" t="s">
        <v>599</v>
      </c>
      <c r="W878" t="s">
        <v>177</v>
      </c>
      <c r="X878" t="s">
        <v>178</v>
      </c>
      <c r="Y878" t="s">
        <v>599</v>
      </c>
    </row>
    <row r="879" spans="1:25">
      <c r="A879">
        <v>13529</v>
      </c>
      <c r="B879" t="s">
        <v>25</v>
      </c>
      <c r="C879" t="str">
        <f t="shared" si="27"/>
        <v>INTEGRA Saloon</v>
      </c>
      <c r="D879" t="str">
        <f t="shared" si="28"/>
        <v>1.6</v>
      </c>
      <c r="E879" t="s">
        <v>26</v>
      </c>
      <c r="F879">
        <v>198501</v>
      </c>
      <c r="G879">
        <v>199012</v>
      </c>
      <c r="H879">
        <v>74</v>
      </c>
      <c r="I879">
        <v>100</v>
      </c>
      <c r="J879">
        <v>1590</v>
      </c>
      <c r="K879">
        <v>1532733</v>
      </c>
      <c r="L879" t="s">
        <v>173</v>
      </c>
      <c r="M879" t="str">
        <f>"5170XS"</f>
        <v>5170XS</v>
      </c>
      <c r="N879" t="str">
        <f>"5170XS"</f>
        <v>5170XS</v>
      </c>
      <c r="O879" t="str">
        <f>""</f>
        <v/>
      </c>
      <c r="P879" t="s">
        <v>599</v>
      </c>
      <c r="Q879" t="str">
        <f>"5412571005516"</f>
        <v>5412571005516</v>
      </c>
      <c r="R879" t="s">
        <v>601</v>
      </c>
      <c r="S879" t="s">
        <v>600</v>
      </c>
      <c r="T879" s="1" t="s">
        <v>602</v>
      </c>
      <c r="U879">
        <v>306</v>
      </c>
      <c r="V879" t="s">
        <v>599</v>
      </c>
      <c r="W879" t="s">
        <v>177</v>
      </c>
      <c r="X879" t="s">
        <v>178</v>
      </c>
      <c r="Y879" t="s">
        <v>599</v>
      </c>
    </row>
    <row r="880" spans="1:25">
      <c r="A880">
        <v>13529</v>
      </c>
      <c r="B880" t="s">
        <v>25</v>
      </c>
      <c r="C880" t="str">
        <f t="shared" si="27"/>
        <v>INTEGRA Saloon</v>
      </c>
      <c r="D880" t="str">
        <f t="shared" si="28"/>
        <v>1.6</v>
      </c>
      <c r="E880" t="s">
        <v>26</v>
      </c>
      <c r="F880">
        <v>198501</v>
      </c>
      <c r="G880">
        <v>199012</v>
      </c>
      <c r="H880">
        <v>74</v>
      </c>
      <c r="I880">
        <v>100</v>
      </c>
      <c r="J880">
        <v>1590</v>
      </c>
      <c r="K880">
        <v>3025509</v>
      </c>
      <c r="L880" t="s">
        <v>33</v>
      </c>
      <c r="M880" t="str">
        <f>"J1124008"</f>
        <v>J1124008</v>
      </c>
      <c r="N880" t="str">
        <f>"J1124008"</f>
        <v>J1124008</v>
      </c>
      <c r="O880" t="str">
        <f>""</f>
        <v/>
      </c>
      <c r="P880" t="s">
        <v>599</v>
      </c>
      <c r="Q880" t="str">
        <f>"8711768024765"</f>
        <v>8711768024765</v>
      </c>
      <c r="R880" t="s">
        <v>1372</v>
      </c>
      <c r="S880" t="s">
        <v>604</v>
      </c>
      <c r="T880" t="s">
        <v>1373</v>
      </c>
      <c r="U880">
        <v>306</v>
      </c>
      <c r="V880" t="s">
        <v>599</v>
      </c>
      <c r="W880" t="s">
        <v>177</v>
      </c>
      <c r="X880" t="s">
        <v>178</v>
      </c>
      <c r="Y880" t="s">
        <v>599</v>
      </c>
    </row>
    <row r="881" spans="1:25">
      <c r="A881">
        <v>13529</v>
      </c>
      <c r="B881" t="s">
        <v>25</v>
      </c>
      <c r="C881" t="str">
        <f t="shared" si="27"/>
        <v>INTEGRA Saloon</v>
      </c>
      <c r="D881" t="str">
        <f t="shared" si="28"/>
        <v>1.6</v>
      </c>
      <c r="E881" t="s">
        <v>26</v>
      </c>
      <c r="F881">
        <v>198501</v>
      </c>
      <c r="G881">
        <v>199012</v>
      </c>
      <c r="H881">
        <v>74</v>
      </c>
      <c r="I881">
        <v>100</v>
      </c>
      <c r="J881">
        <v>1590</v>
      </c>
      <c r="K881">
        <v>3963935</v>
      </c>
      <c r="L881" t="s">
        <v>27</v>
      </c>
      <c r="M881" t="str">
        <f>"H10442"</f>
        <v>H10442</v>
      </c>
      <c r="N881" t="str">
        <f>"H104-42"</f>
        <v>H104-42</v>
      </c>
      <c r="O881" t="str">
        <f>""</f>
        <v/>
      </c>
      <c r="P881" t="s">
        <v>599</v>
      </c>
      <c r="Q881" t="str">
        <f>"8718993210055"</f>
        <v>8718993210055</v>
      </c>
      <c r="R881" t="s">
        <v>1374</v>
      </c>
      <c r="S881" t="s">
        <v>604</v>
      </c>
      <c r="T881" s="1" t="s">
        <v>1375</v>
      </c>
      <c r="U881">
        <v>306</v>
      </c>
      <c r="V881" t="s">
        <v>599</v>
      </c>
      <c r="W881" t="s">
        <v>177</v>
      </c>
      <c r="X881" t="s">
        <v>178</v>
      </c>
      <c r="Y881" t="s">
        <v>599</v>
      </c>
    </row>
    <row r="882" spans="1:25">
      <c r="A882">
        <v>13529</v>
      </c>
      <c r="B882" t="s">
        <v>25</v>
      </c>
      <c r="C882" t="str">
        <f t="shared" si="27"/>
        <v>INTEGRA Saloon</v>
      </c>
      <c r="D882" t="str">
        <f t="shared" si="28"/>
        <v>1.6</v>
      </c>
      <c r="E882" t="s">
        <v>26</v>
      </c>
      <c r="F882">
        <v>198501</v>
      </c>
      <c r="G882">
        <v>199012</v>
      </c>
      <c r="H882">
        <v>74</v>
      </c>
      <c r="I882">
        <v>100</v>
      </c>
      <c r="J882">
        <v>1590</v>
      </c>
      <c r="K882">
        <v>3025275</v>
      </c>
      <c r="L882" t="s">
        <v>33</v>
      </c>
      <c r="M882" t="str">
        <f>"J1114014"</f>
        <v>J1114014</v>
      </c>
      <c r="N882" t="str">
        <f>"J1114014"</f>
        <v>J1114014</v>
      </c>
      <c r="O882" t="str">
        <f>""</f>
        <v/>
      </c>
      <c r="P882" t="s">
        <v>608</v>
      </c>
      <c r="Q882" t="str">
        <f>"8711768023805"</f>
        <v>8711768023805</v>
      </c>
      <c r="S882" t="s">
        <v>600</v>
      </c>
      <c r="T882" t="s">
        <v>1376</v>
      </c>
      <c r="U882">
        <v>307</v>
      </c>
      <c r="V882" t="s">
        <v>608</v>
      </c>
      <c r="W882" t="s">
        <v>610</v>
      </c>
      <c r="X882" t="s">
        <v>178</v>
      </c>
      <c r="Y882" t="s">
        <v>599</v>
      </c>
    </row>
    <row r="883" spans="1:25">
      <c r="A883">
        <v>13529</v>
      </c>
      <c r="B883" t="s">
        <v>25</v>
      </c>
      <c r="C883" t="str">
        <f t="shared" si="27"/>
        <v>INTEGRA Saloon</v>
      </c>
      <c r="D883" t="str">
        <f t="shared" si="28"/>
        <v>1.6</v>
      </c>
      <c r="E883" t="s">
        <v>26</v>
      </c>
      <c r="F883">
        <v>198501</v>
      </c>
      <c r="G883">
        <v>199012</v>
      </c>
      <c r="H883">
        <v>74</v>
      </c>
      <c r="I883">
        <v>100</v>
      </c>
      <c r="J883">
        <v>1590</v>
      </c>
      <c r="K883">
        <v>3963946</v>
      </c>
      <c r="L883" t="s">
        <v>27</v>
      </c>
      <c r="M883" t="str">
        <f>"H10476"</f>
        <v>H10476</v>
      </c>
      <c r="N883" t="str">
        <f>"H104-76"</f>
        <v>H104-76</v>
      </c>
      <c r="O883" t="str">
        <f>""</f>
        <v/>
      </c>
      <c r="P883" t="s">
        <v>608</v>
      </c>
      <c r="Q883" t="str">
        <f>""</f>
        <v/>
      </c>
      <c r="S883" t="s">
        <v>600</v>
      </c>
      <c r="T883" t="s">
        <v>1377</v>
      </c>
      <c r="U883">
        <v>307</v>
      </c>
      <c r="V883" t="s">
        <v>608</v>
      </c>
      <c r="W883" t="s">
        <v>610</v>
      </c>
      <c r="X883" t="s">
        <v>178</v>
      </c>
      <c r="Y883" t="s">
        <v>599</v>
      </c>
    </row>
    <row r="884" spans="1:25">
      <c r="A884">
        <v>13529</v>
      </c>
      <c r="B884" t="s">
        <v>25</v>
      </c>
      <c r="C884" t="str">
        <f t="shared" si="27"/>
        <v>INTEGRA Saloon</v>
      </c>
      <c r="D884" t="str">
        <f t="shared" si="28"/>
        <v>1.6</v>
      </c>
      <c r="E884" t="s">
        <v>26</v>
      </c>
      <c r="F884">
        <v>198501</v>
      </c>
      <c r="G884">
        <v>199012</v>
      </c>
      <c r="H884">
        <v>74</v>
      </c>
      <c r="I884">
        <v>100</v>
      </c>
      <c r="J884">
        <v>1590</v>
      </c>
      <c r="K884">
        <v>3025842</v>
      </c>
      <c r="L884" t="s">
        <v>33</v>
      </c>
      <c r="M884" t="str">
        <f>"J1144012"</f>
        <v>J1144012</v>
      </c>
      <c r="N884" t="str">
        <f>"J1144012"</f>
        <v>J1144012</v>
      </c>
      <c r="O884" t="str">
        <f>""</f>
        <v/>
      </c>
      <c r="P884" t="s">
        <v>612</v>
      </c>
      <c r="Q884" t="str">
        <f>"8711768026950"</f>
        <v>8711768026950</v>
      </c>
      <c r="S884" t="s">
        <v>613</v>
      </c>
      <c r="T884" t="s">
        <v>1378</v>
      </c>
      <c r="U884">
        <v>308</v>
      </c>
      <c r="V884" t="s">
        <v>612</v>
      </c>
      <c r="W884" t="s">
        <v>615</v>
      </c>
      <c r="X884" t="s">
        <v>178</v>
      </c>
      <c r="Y884" t="s">
        <v>616</v>
      </c>
    </row>
    <row r="885" spans="1:25">
      <c r="A885">
        <v>13529</v>
      </c>
      <c r="B885" t="s">
        <v>25</v>
      </c>
      <c r="C885" t="str">
        <f t="shared" si="27"/>
        <v>INTEGRA Saloon</v>
      </c>
      <c r="D885" t="str">
        <f t="shared" si="28"/>
        <v>1.6</v>
      </c>
      <c r="E885" t="s">
        <v>26</v>
      </c>
      <c r="F885">
        <v>198501</v>
      </c>
      <c r="G885">
        <v>199012</v>
      </c>
      <c r="H885">
        <v>74</v>
      </c>
      <c r="I885">
        <v>100</v>
      </c>
      <c r="J885">
        <v>1590</v>
      </c>
      <c r="K885">
        <v>3951965</v>
      </c>
      <c r="L885" t="s">
        <v>27</v>
      </c>
      <c r="M885" t="str">
        <f>"03422104"</f>
        <v>03422104</v>
      </c>
      <c r="N885" t="str">
        <f>"0342-2104"</f>
        <v>0342-2104</v>
      </c>
      <c r="O885" t="str">
        <f>""</f>
        <v/>
      </c>
      <c r="P885" t="s">
        <v>612</v>
      </c>
      <c r="Q885" t="str">
        <f>"8718993004197"</f>
        <v>8718993004197</v>
      </c>
      <c r="R885" t="s">
        <v>1379</v>
      </c>
      <c r="S885" t="s">
        <v>618</v>
      </c>
      <c r="T885" s="1" t="s">
        <v>1380</v>
      </c>
      <c r="U885">
        <v>308</v>
      </c>
      <c r="V885" t="s">
        <v>612</v>
      </c>
      <c r="W885" t="s">
        <v>615</v>
      </c>
      <c r="X885" t="s">
        <v>178</v>
      </c>
      <c r="Y885" t="s">
        <v>616</v>
      </c>
    </row>
    <row r="886" spans="1:25">
      <c r="A886">
        <v>13529</v>
      </c>
      <c r="B886" t="s">
        <v>25</v>
      </c>
      <c r="C886" t="str">
        <f t="shared" si="27"/>
        <v>INTEGRA Saloon</v>
      </c>
      <c r="D886" t="str">
        <f t="shared" si="28"/>
        <v>1.6</v>
      </c>
      <c r="E886" t="s">
        <v>26</v>
      </c>
      <c r="F886">
        <v>198501</v>
      </c>
      <c r="G886">
        <v>199012</v>
      </c>
      <c r="H886">
        <v>74</v>
      </c>
      <c r="I886">
        <v>100</v>
      </c>
      <c r="J886">
        <v>1590</v>
      </c>
      <c r="K886">
        <v>1536701</v>
      </c>
      <c r="L886" t="s">
        <v>173</v>
      </c>
      <c r="M886" t="str">
        <f>"TH14178G2"</f>
        <v>TH14178G2</v>
      </c>
      <c r="N886" t="str">
        <f>"TH14178G2"</f>
        <v>TH14178G2</v>
      </c>
      <c r="O886" t="str">
        <f>""</f>
        <v/>
      </c>
      <c r="P886" t="s">
        <v>622</v>
      </c>
      <c r="Q886" t="str">
        <f>"5414465401558"</f>
        <v>5414465401558</v>
      </c>
      <c r="R886" t="s">
        <v>623</v>
      </c>
      <c r="T886" s="1" t="s">
        <v>1381</v>
      </c>
      <c r="U886">
        <v>316</v>
      </c>
      <c r="V886" t="s">
        <v>622</v>
      </c>
      <c r="W886" t="s">
        <v>625</v>
      </c>
      <c r="X886" t="s">
        <v>626</v>
      </c>
      <c r="Y886" t="s">
        <v>627</v>
      </c>
    </row>
    <row r="887" spans="1:25">
      <c r="A887">
        <v>13529</v>
      </c>
      <c r="B887" t="s">
        <v>25</v>
      </c>
      <c r="C887" t="str">
        <f t="shared" si="27"/>
        <v>INTEGRA Saloon</v>
      </c>
      <c r="D887" t="str">
        <f t="shared" si="28"/>
        <v>1.6</v>
      </c>
      <c r="E887" t="s">
        <v>26</v>
      </c>
      <c r="F887">
        <v>198501</v>
      </c>
      <c r="G887">
        <v>199012</v>
      </c>
      <c r="H887">
        <v>74</v>
      </c>
      <c r="I887">
        <v>100</v>
      </c>
      <c r="J887">
        <v>1590</v>
      </c>
      <c r="K887">
        <v>3027626</v>
      </c>
      <c r="L887" t="s">
        <v>33</v>
      </c>
      <c r="M887" t="str">
        <f>"J1534001"</f>
        <v>J1534001</v>
      </c>
      <c r="N887" t="str">
        <f>"J1534001"</f>
        <v>J1534001</v>
      </c>
      <c r="O887" t="str">
        <f>""</f>
        <v/>
      </c>
      <c r="P887" t="s">
        <v>622</v>
      </c>
      <c r="Q887" t="str">
        <f>"8711768039264"</f>
        <v>8711768039264</v>
      </c>
      <c r="R887" t="s">
        <v>628</v>
      </c>
      <c r="T887" t="s">
        <v>629</v>
      </c>
      <c r="U887">
        <v>316</v>
      </c>
      <c r="V887" t="s">
        <v>622</v>
      </c>
      <c r="W887" t="s">
        <v>625</v>
      </c>
      <c r="X887" t="s">
        <v>626</v>
      </c>
      <c r="Y887" t="s">
        <v>627</v>
      </c>
    </row>
    <row r="888" spans="1:25">
      <c r="A888">
        <v>13529</v>
      </c>
      <c r="B888" t="s">
        <v>25</v>
      </c>
      <c r="C888" t="str">
        <f t="shared" si="27"/>
        <v>INTEGRA Saloon</v>
      </c>
      <c r="D888" t="str">
        <f t="shared" si="28"/>
        <v>1.6</v>
      </c>
      <c r="E888" t="s">
        <v>26</v>
      </c>
      <c r="F888">
        <v>198501</v>
      </c>
      <c r="G888">
        <v>199012</v>
      </c>
      <c r="H888">
        <v>74</v>
      </c>
      <c r="I888">
        <v>100</v>
      </c>
      <c r="J888">
        <v>1590</v>
      </c>
      <c r="K888">
        <v>3963953</v>
      </c>
      <c r="L888" t="s">
        <v>27</v>
      </c>
      <c r="M888" t="str">
        <f>"H10603"</f>
        <v>H10603</v>
      </c>
      <c r="N888" t="str">
        <f>"H106-03"</f>
        <v>H106-03</v>
      </c>
      <c r="O888" t="str">
        <f>""</f>
        <v/>
      </c>
      <c r="P888" t="s">
        <v>622</v>
      </c>
      <c r="Q888" t="str">
        <f>"8718993210246"</f>
        <v>8718993210246</v>
      </c>
      <c r="R888" t="s">
        <v>634</v>
      </c>
      <c r="T888" s="1" t="s">
        <v>1382</v>
      </c>
      <c r="U888">
        <v>316</v>
      </c>
      <c r="V888" t="s">
        <v>622</v>
      </c>
      <c r="W888" t="s">
        <v>625</v>
      </c>
      <c r="X888" t="s">
        <v>626</v>
      </c>
      <c r="Y888" t="s">
        <v>627</v>
      </c>
    </row>
    <row r="889" spans="1:25">
      <c r="A889">
        <v>13529</v>
      </c>
      <c r="B889" t="s">
        <v>25</v>
      </c>
      <c r="C889" t="str">
        <f t="shared" si="27"/>
        <v>INTEGRA Saloon</v>
      </c>
      <c r="D889" t="str">
        <f t="shared" si="28"/>
        <v>1.6</v>
      </c>
      <c r="E889" t="s">
        <v>26</v>
      </c>
      <c r="F889">
        <v>198501</v>
      </c>
      <c r="G889">
        <v>199012</v>
      </c>
      <c r="H889">
        <v>74</v>
      </c>
      <c r="I889">
        <v>100</v>
      </c>
      <c r="J889">
        <v>1590</v>
      </c>
      <c r="K889">
        <v>2249451</v>
      </c>
      <c r="L889" t="s">
        <v>636</v>
      </c>
      <c r="M889" t="str">
        <f>"BV350"</f>
        <v>BV350</v>
      </c>
      <c r="N889" t="str">
        <f>"BV350"</f>
        <v>BV350</v>
      </c>
      <c r="O889" t="str">
        <f>""</f>
        <v/>
      </c>
      <c r="P889" t="s">
        <v>637</v>
      </c>
      <c r="Q889" t="str">
        <f>""</f>
        <v/>
      </c>
      <c r="R889" t="s">
        <v>638</v>
      </c>
      <c r="S889" t="s">
        <v>1260</v>
      </c>
      <c r="T889" t="s">
        <v>1383</v>
      </c>
      <c r="U889">
        <v>318</v>
      </c>
      <c r="V889" t="s">
        <v>637</v>
      </c>
      <c r="W889" t="s">
        <v>640</v>
      </c>
      <c r="X889" t="s">
        <v>641</v>
      </c>
      <c r="Y889" t="s">
        <v>642</v>
      </c>
    </row>
    <row r="890" spans="1:25">
      <c r="A890">
        <v>13529</v>
      </c>
      <c r="B890" t="s">
        <v>25</v>
      </c>
      <c r="C890" t="str">
        <f t="shared" si="27"/>
        <v>INTEGRA Saloon</v>
      </c>
      <c r="D890" t="str">
        <f t="shared" si="28"/>
        <v>1.6</v>
      </c>
      <c r="E890" t="s">
        <v>26</v>
      </c>
      <c r="F890">
        <v>198501</v>
      </c>
      <c r="G890">
        <v>199012</v>
      </c>
      <c r="H890">
        <v>74</v>
      </c>
      <c r="I890">
        <v>100</v>
      </c>
      <c r="J890">
        <v>1590</v>
      </c>
      <c r="K890">
        <v>3026242</v>
      </c>
      <c r="L890" t="s">
        <v>33</v>
      </c>
      <c r="M890" t="str">
        <f>"J1254005"</f>
        <v>J1254005</v>
      </c>
      <c r="N890" t="str">
        <f>"J1254005"</f>
        <v>J1254005</v>
      </c>
      <c r="O890" t="str">
        <f>""</f>
        <v/>
      </c>
      <c r="P890" t="s">
        <v>637</v>
      </c>
      <c r="Q890" t="str">
        <f>"8711768082260"</f>
        <v>8711768082260</v>
      </c>
      <c r="R890" t="s">
        <v>1384</v>
      </c>
      <c r="S890" t="s">
        <v>1385</v>
      </c>
      <c r="T890" t="s">
        <v>1386</v>
      </c>
      <c r="U890">
        <v>318</v>
      </c>
      <c r="V890" t="s">
        <v>637</v>
      </c>
      <c r="W890" t="s">
        <v>640</v>
      </c>
      <c r="X890" t="s">
        <v>641</v>
      </c>
      <c r="Y890" t="s">
        <v>642</v>
      </c>
    </row>
    <row r="891" spans="1:25">
      <c r="A891">
        <v>13529</v>
      </c>
      <c r="B891" t="s">
        <v>25</v>
      </c>
      <c r="C891" t="str">
        <f t="shared" si="27"/>
        <v>INTEGRA Saloon</v>
      </c>
      <c r="D891" t="str">
        <f t="shared" si="28"/>
        <v>1.6</v>
      </c>
      <c r="E891" t="s">
        <v>26</v>
      </c>
      <c r="F891">
        <v>198501</v>
      </c>
      <c r="G891">
        <v>199012</v>
      </c>
      <c r="H891">
        <v>74</v>
      </c>
      <c r="I891">
        <v>100</v>
      </c>
      <c r="J891">
        <v>1590</v>
      </c>
      <c r="K891">
        <v>3952473</v>
      </c>
      <c r="L891" t="s">
        <v>27</v>
      </c>
      <c r="M891" t="str">
        <f>"03755004"</f>
        <v>03755004</v>
      </c>
      <c r="N891" t="str">
        <f>"0375-5004"</f>
        <v>0375-5004</v>
      </c>
      <c r="O891" t="str">
        <f>""</f>
        <v/>
      </c>
      <c r="P891" t="s">
        <v>637</v>
      </c>
      <c r="Q891" t="str">
        <f>"8718993009789"</f>
        <v>8718993009789</v>
      </c>
      <c r="R891" t="s">
        <v>1384</v>
      </c>
      <c r="S891" t="s">
        <v>1385</v>
      </c>
      <c r="T891" t="s">
        <v>1387</v>
      </c>
      <c r="U891">
        <v>318</v>
      </c>
      <c r="V891" t="s">
        <v>637</v>
      </c>
      <c r="W891" t="s">
        <v>640</v>
      </c>
      <c r="X891" t="s">
        <v>641</v>
      </c>
      <c r="Y891" t="s">
        <v>642</v>
      </c>
    </row>
    <row r="892" spans="1:25">
      <c r="A892">
        <v>13529</v>
      </c>
      <c r="B892" t="s">
        <v>25</v>
      </c>
      <c r="C892" t="str">
        <f t="shared" si="27"/>
        <v>INTEGRA Saloon</v>
      </c>
      <c r="D892" t="str">
        <f t="shared" si="28"/>
        <v>1.6</v>
      </c>
      <c r="E892" t="s">
        <v>26</v>
      </c>
      <c r="F892">
        <v>198501</v>
      </c>
      <c r="G892">
        <v>199012</v>
      </c>
      <c r="H892">
        <v>74</v>
      </c>
      <c r="I892">
        <v>100</v>
      </c>
      <c r="J892">
        <v>1590</v>
      </c>
      <c r="K892">
        <v>4127109</v>
      </c>
      <c r="L892" t="s">
        <v>1291</v>
      </c>
      <c r="M892" t="str">
        <f>"CH9300"</f>
        <v>CH9300</v>
      </c>
      <c r="N892" t="str">
        <f>"CH9300"</f>
        <v>CH9300</v>
      </c>
      <c r="O892" t="str">
        <f>""</f>
        <v/>
      </c>
      <c r="P892" t="s">
        <v>637</v>
      </c>
      <c r="Q892" t="str">
        <f>""</f>
        <v/>
      </c>
      <c r="R892" t="s">
        <v>1388</v>
      </c>
      <c r="S892" t="s">
        <v>1293</v>
      </c>
      <c r="T892" t="s">
        <v>1389</v>
      </c>
      <c r="U892">
        <v>318</v>
      </c>
      <c r="V892" t="s">
        <v>637</v>
      </c>
      <c r="W892" t="s">
        <v>640</v>
      </c>
      <c r="X892" t="s">
        <v>641</v>
      </c>
      <c r="Y892" t="s">
        <v>642</v>
      </c>
    </row>
    <row r="893" spans="1:25">
      <c r="A893">
        <v>13529</v>
      </c>
      <c r="B893" t="s">
        <v>25</v>
      </c>
      <c r="C893" t="str">
        <f t="shared" si="27"/>
        <v>INTEGRA Saloon</v>
      </c>
      <c r="D893" t="str">
        <f t="shared" si="28"/>
        <v>1.6</v>
      </c>
      <c r="E893" t="s">
        <v>26</v>
      </c>
      <c r="F893">
        <v>198501</v>
      </c>
      <c r="G893">
        <v>199012</v>
      </c>
      <c r="H893">
        <v>74</v>
      </c>
      <c r="I893">
        <v>100</v>
      </c>
      <c r="J893">
        <v>1590</v>
      </c>
      <c r="K893">
        <v>202164</v>
      </c>
      <c r="L893" t="s">
        <v>33</v>
      </c>
      <c r="M893" t="str">
        <f>"J1244035"</f>
        <v>J1244035</v>
      </c>
      <c r="N893" t="str">
        <f>"J1244035"</f>
        <v>J1244035</v>
      </c>
      <c r="O893" t="str">
        <f>""</f>
        <v/>
      </c>
      <c r="P893" t="s">
        <v>646</v>
      </c>
      <c r="Q893" t="str">
        <f>"8711768030650"</f>
        <v>8711768030650</v>
      </c>
      <c r="T893" s="1" t="s">
        <v>1390</v>
      </c>
      <c r="U893">
        <v>319</v>
      </c>
      <c r="V893" t="s">
        <v>646</v>
      </c>
      <c r="W893" t="s">
        <v>649</v>
      </c>
      <c r="X893" t="s">
        <v>641</v>
      </c>
    </row>
    <row r="894" spans="1:25">
      <c r="A894">
        <v>13529</v>
      </c>
      <c r="B894" t="s">
        <v>25</v>
      </c>
      <c r="C894" t="str">
        <f t="shared" si="27"/>
        <v>INTEGRA Saloon</v>
      </c>
      <c r="D894" t="str">
        <f t="shared" si="28"/>
        <v>1.6</v>
      </c>
      <c r="E894" t="s">
        <v>26</v>
      </c>
      <c r="F894">
        <v>198501</v>
      </c>
      <c r="G894">
        <v>199012</v>
      </c>
      <c r="H894">
        <v>74</v>
      </c>
      <c r="I894">
        <v>100</v>
      </c>
      <c r="J894">
        <v>1590</v>
      </c>
      <c r="K894">
        <v>591075</v>
      </c>
      <c r="L894" t="s">
        <v>636</v>
      </c>
      <c r="M894" t="str">
        <f>"DV351"</f>
        <v>DV351</v>
      </c>
      <c r="N894" t="str">
        <f>"DV351"</f>
        <v>DV351</v>
      </c>
      <c r="O894" t="str">
        <f>""</f>
        <v/>
      </c>
      <c r="P894" t="s">
        <v>646</v>
      </c>
      <c r="Q894" t="str">
        <f>""</f>
        <v/>
      </c>
      <c r="R894" t="s">
        <v>650</v>
      </c>
      <c r="S894" t="s">
        <v>1260</v>
      </c>
      <c r="T894" t="s">
        <v>1391</v>
      </c>
      <c r="U894">
        <v>319</v>
      </c>
      <c r="V894" t="s">
        <v>646</v>
      </c>
      <c r="W894" t="s">
        <v>649</v>
      </c>
      <c r="X894" t="s">
        <v>641</v>
      </c>
    </row>
    <row r="895" spans="1:25">
      <c r="A895">
        <v>13529</v>
      </c>
      <c r="B895" t="s">
        <v>25</v>
      </c>
      <c r="C895" t="str">
        <f t="shared" si="27"/>
        <v>INTEGRA Saloon</v>
      </c>
      <c r="D895" t="str">
        <f t="shared" si="28"/>
        <v>1.6</v>
      </c>
      <c r="E895" t="s">
        <v>26</v>
      </c>
      <c r="F895">
        <v>198501</v>
      </c>
      <c r="G895">
        <v>199012</v>
      </c>
      <c r="H895">
        <v>74</v>
      </c>
      <c r="I895">
        <v>100</v>
      </c>
      <c r="J895">
        <v>1590</v>
      </c>
      <c r="K895">
        <v>840471</v>
      </c>
      <c r="L895" t="s">
        <v>1291</v>
      </c>
      <c r="M895" t="str">
        <f>"HK6510"</f>
        <v>HK6510</v>
      </c>
      <c r="N895" t="str">
        <f>"HK6510"</f>
        <v>HK6510</v>
      </c>
      <c r="O895" t="str">
        <f>""</f>
        <v/>
      </c>
      <c r="P895" t="s">
        <v>646</v>
      </c>
      <c r="Q895" t="str">
        <f>""</f>
        <v/>
      </c>
      <c r="R895" t="s">
        <v>650</v>
      </c>
      <c r="S895" t="s">
        <v>1293</v>
      </c>
      <c r="T895" s="1" t="s">
        <v>1392</v>
      </c>
      <c r="U895">
        <v>319</v>
      </c>
      <c r="V895" t="s">
        <v>646</v>
      </c>
      <c r="W895" t="s">
        <v>649</v>
      </c>
      <c r="X895" t="s">
        <v>641</v>
      </c>
    </row>
    <row r="896" spans="1:25">
      <c r="A896">
        <v>13529</v>
      </c>
      <c r="B896" t="s">
        <v>25</v>
      </c>
      <c r="C896" t="str">
        <f t="shared" si="27"/>
        <v>INTEGRA Saloon</v>
      </c>
      <c r="D896" t="str">
        <f t="shared" si="28"/>
        <v>1.6</v>
      </c>
      <c r="E896" t="s">
        <v>26</v>
      </c>
      <c r="F896">
        <v>198501</v>
      </c>
      <c r="G896">
        <v>199012</v>
      </c>
      <c r="H896">
        <v>74</v>
      </c>
      <c r="I896">
        <v>100</v>
      </c>
      <c r="J896">
        <v>1590</v>
      </c>
      <c r="K896">
        <v>3964119</v>
      </c>
      <c r="L896" t="s">
        <v>27</v>
      </c>
      <c r="M896" t="str">
        <f>"H22530"</f>
        <v>H22530</v>
      </c>
      <c r="N896" t="str">
        <f>"H225-30"</f>
        <v>H225-30</v>
      </c>
      <c r="O896" t="str">
        <f>""</f>
        <v/>
      </c>
      <c r="P896" t="s">
        <v>646</v>
      </c>
      <c r="Q896" t="str">
        <f>"8718993212707"</f>
        <v>8718993212707</v>
      </c>
      <c r="R896" t="s">
        <v>1393</v>
      </c>
      <c r="T896" s="1" t="s">
        <v>1394</v>
      </c>
      <c r="U896">
        <v>319</v>
      </c>
      <c r="V896" t="s">
        <v>646</v>
      </c>
      <c r="W896" t="s">
        <v>649</v>
      </c>
      <c r="X896" t="s">
        <v>641</v>
      </c>
    </row>
    <row r="897" spans="1:25">
      <c r="A897">
        <v>13529</v>
      </c>
      <c r="B897" t="s">
        <v>25</v>
      </c>
      <c r="C897" t="str">
        <f t="shared" si="27"/>
        <v>INTEGRA Saloon</v>
      </c>
      <c r="D897" t="str">
        <f t="shared" si="28"/>
        <v>1.6</v>
      </c>
      <c r="E897" t="s">
        <v>26</v>
      </c>
      <c r="F897">
        <v>198501</v>
      </c>
      <c r="G897">
        <v>199012</v>
      </c>
      <c r="H897">
        <v>74</v>
      </c>
      <c r="I897">
        <v>100</v>
      </c>
      <c r="J897">
        <v>1590</v>
      </c>
      <c r="K897">
        <v>201930</v>
      </c>
      <c r="L897" t="s">
        <v>33</v>
      </c>
      <c r="M897" t="str">
        <f>"J1224013"</f>
        <v>J1224013</v>
      </c>
      <c r="N897" t="str">
        <f>"J1224013"</f>
        <v>J1224013</v>
      </c>
      <c r="O897" t="str">
        <f>""</f>
        <v/>
      </c>
      <c r="P897" t="s">
        <v>654</v>
      </c>
      <c r="Q897" t="str">
        <f>"8711768028626"</f>
        <v>8711768028626</v>
      </c>
      <c r="R897" t="s">
        <v>1395</v>
      </c>
      <c r="T897" t="s">
        <v>1396</v>
      </c>
      <c r="U897">
        <v>321</v>
      </c>
      <c r="V897" t="s">
        <v>654</v>
      </c>
      <c r="W897" t="s">
        <v>640</v>
      </c>
      <c r="X897" t="s">
        <v>641</v>
      </c>
      <c r="Y897" t="s">
        <v>656</v>
      </c>
    </row>
    <row r="898" spans="1:25">
      <c r="A898">
        <v>13529</v>
      </c>
      <c r="B898" t="s">
        <v>25</v>
      </c>
      <c r="C898" t="str">
        <f t="shared" ref="C898:C961" si="29">"INTEGRA Saloon"</f>
        <v>INTEGRA Saloon</v>
      </c>
      <c r="D898" t="str">
        <f t="shared" si="28"/>
        <v>1.6</v>
      </c>
      <c r="E898" t="s">
        <v>26</v>
      </c>
      <c r="F898">
        <v>198501</v>
      </c>
      <c r="G898">
        <v>199012</v>
      </c>
      <c r="H898">
        <v>74</v>
      </c>
      <c r="I898">
        <v>100</v>
      </c>
      <c r="J898">
        <v>1590</v>
      </c>
      <c r="K898">
        <v>1141286</v>
      </c>
      <c r="L898" t="s">
        <v>659</v>
      </c>
      <c r="M898" t="str">
        <f>"752630"</f>
        <v>752630</v>
      </c>
      <c r="N898" t="str">
        <f>"752.630"</f>
        <v>752.630</v>
      </c>
      <c r="O898" t="str">
        <f>""</f>
        <v/>
      </c>
      <c r="P898" t="s">
        <v>654</v>
      </c>
      <c r="Q898" t="str">
        <f>"4041248124536"</f>
        <v>4041248124536</v>
      </c>
      <c r="T898" s="1" t="s">
        <v>1397</v>
      </c>
      <c r="U898">
        <v>321</v>
      </c>
      <c r="V898" t="s">
        <v>654</v>
      </c>
      <c r="W898" t="s">
        <v>640</v>
      </c>
      <c r="X898" t="s">
        <v>641</v>
      </c>
      <c r="Y898" t="s">
        <v>656</v>
      </c>
    </row>
    <row r="899" spans="1:25">
      <c r="A899">
        <v>13529</v>
      </c>
      <c r="B899" t="s">
        <v>25</v>
      </c>
      <c r="C899" t="str">
        <f t="shared" si="29"/>
        <v>INTEGRA Saloon</v>
      </c>
      <c r="D899" t="str">
        <f t="shared" si="28"/>
        <v>1.6</v>
      </c>
      <c r="E899" t="s">
        <v>26</v>
      </c>
      <c r="F899">
        <v>198501</v>
      </c>
      <c r="G899">
        <v>199012</v>
      </c>
      <c r="H899">
        <v>74</v>
      </c>
      <c r="I899">
        <v>100</v>
      </c>
      <c r="J899">
        <v>1590</v>
      </c>
      <c r="K899">
        <v>2251832</v>
      </c>
      <c r="L899" t="s">
        <v>636</v>
      </c>
      <c r="M899" t="str">
        <f>"JN744"</f>
        <v>JN744</v>
      </c>
      <c r="N899" t="str">
        <f>"JN744"</f>
        <v>JN744</v>
      </c>
      <c r="O899" t="str">
        <f>""</f>
        <v/>
      </c>
      <c r="P899" t="s">
        <v>654</v>
      </c>
      <c r="Q899" t="str">
        <f>""</f>
        <v/>
      </c>
      <c r="R899" t="s">
        <v>1398</v>
      </c>
      <c r="S899" t="s">
        <v>1260</v>
      </c>
      <c r="T899" s="1" t="s">
        <v>1399</v>
      </c>
      <c r="U899">
        <v>321</v>
      </c>
      <c r="V899" t="s">
        <v>654</v>
      </c>
      <c r="W899" t="s">
        <v>640</v>
      </c>
      <c r="X899" t="s">
        <v>641</v>
      </c>
      <c r="Y899" t="s">
        <v>656</v>
      </c>
    </row>
    <row r="900" spans="1:25">
      <c r="A900">
        <v>13529</v>
      </c>
      <c r="B900" t="s">
        <v>25</v>
      </c>
      <c r="C900" t="str">
        <f t="shared" si="29"/>
        <v>INTEGRA Saloon</v>
      </c>
      <c r="D900" t="str">
        <f t="shared" si="28"/>
        <v>1.6</v>
      </c>
      <c r="E900" t="s">
        <v>26</v>
      </c>
      <c r="F900">
        <v>198501</v>
      </c>
      <c r="G900">
        <v>199012</v>
      </c>
      <c r="H900">
        <v>74</v>
      </c>
      <c r="I900">
        <v>100</v>
      </c>
      <c r="J900">
        <v>1590</v>
      </c>
      <c r="K900">
        <v>3964138</v>
      </c>
      <c r="L900" t="s">
        <v>27</v>
      </c>
      <c r="M900" t="str">
        <f>"H23705"</f>
        <v>H23705</v>
      </c>
      <c r="N900" t="str">
        <f>"H237-05"</f>
        <v>H237-05</v>
      </c>
      <c r="O900" t="str">
        <f>""</f>
        <v/>
      </c>
      <c r="P900" t="s">
        <v>654</v>
      </c>
      <c r="Q900" t="str">
        <f>"8718993212974"</f>
        <v>8718993212974</v>
      </c>
      <c r="R900" t="s">
        <v>1400</v>
      </c>
      <c r="T900" s="1" t="s">
        <v>1401</v>
      </c>
      <c r="U900">
        <v>321</v>
      </c>
      <c r="V900" t="s">
        <v>654</v>
      </c>
      <c r="W900" t="s">
        <v>640</v>
      </c>
      <c r="X900" t="s">
        <v>641</v>
      </c>
      <c r="Y900" t="s">
        <v>656</v>
      </c>
    </row>
    <row r="901" spans="1:25">
      <c r="A901">
        <v>13529</v>
      </c>
      <c r="B901" t="s">
        <v>25</v>
      </c>
      <c r="C901" t="str">
        <f t="shared" si="29"/>
        <v>INTEGRA Saloon</v>
      </c>
      <c r="D901" t="str">
        <f t="shared" si="28"/>
        <v>1.6</v>
      </c>
      <c r="E901" t="s">
        <v>26</v>
      </c>
      <c r="F901">
        <v>198501</v>
      </c>
      <c r="G901">
        <v>199012</v>
      </c>
      <c r="H901">
        <v>74</v>
      </c>
      <c r="I901">
        <v>100</v>
      </c>
      <c r="J901">
        <v>1590</v>
      </c>
      <c r="K901">
        <v>4131916</v>
      </c>
      <c r="L901" t="s">
        <v>1291</v>
      </c>
      <c r="M901" t="str">
        <f>"VK3399"</f>
        <v>VK3399</v>
      </c>
      <c r="N901" t="str">
        <f>"VK3399"</f>
        <v>VK3399</v>
      </c>
      <c r="O901" t="str">
        <f>""</f>
        <v/>
      </c>
      <c r="P901" t="s">
        <v>660</v>
      </c>
      <c r="Q901" t="str">
        <f>""</f>
        <v/>
      </c>
      <c r="S901" t="s">
        <v>1293</v>
      </c>
      <c r="T901" t="s">
        <v>1402</v>
      </c>
      <c r="U901">
        <v>323</v>
      </c>
      <c r="V901" t="s">
        <v>660</v>
      </c>
      <c r="W901" t="s">
        <v>649</v>
      </c>
      <c r="X901" t="s">
        <v>641</v>
      </c>
      <c r="Y901" t="s">
        <v>663</v>
      </c>
    </row>
    <row r="902" spans="1:25">
      <c r="A902">
        <v>13529</v>
      </c>
      <c r="B902" t="s">
        <v>25</v>
      </c>
      <c r="C902" t="str">
        <f t="shared" si="29"/>
        <v>INTEGRA Saloon</v>
      </c>
      <c r="D902" t="str">
        <f t="shared" si="28"/>
        <v>1.6</v>
      </c>
      <c r="E902" t="s">
        <v>26</v>
      </c>
      <c r="F902">
        <v>198501</v>
      </c>
      <c r="G902">
        <v>199012</v>
      </c>
      <c r="H902">
        <v>74</v>
      </c>
      <c r="I902">
        <v>100</v>
      </c>
      <c r="J902">
        <v>1590</v>
      </c>
      <c r="K902">
        <v>199157</v>
      </c>
      <c r="L902" t="s">
        <v>384</v>
      </c>
      <c r="M902" t="str">
        <f>"NP2279"</f>
        <v>NP2279</v>
      </c>
      <c r="N902" t="str">
        <f>"NP2279"</f>
        <v>NP2279</v>
      </c>
      <c r="O902" t="str">
        <f>""</f>
        <v/>
      </c>
      <c r="P902" t="s">
        <v>664</v>
      </c>
      <c r="Q902" t="str">
        <f>""</f>
        <v/>
      </c>
      <c r="R902" t="s">
        <v>665</v>
      </c>
      <c r="S902" t="s">
        <v>666</v>
      </c>
      <c r="T902" s="1" t="s">
        <v>667</v>
      </c>
      <c r="U902">
        <v>402</v>
      </c>
      <c r="V902" t="s">
        <v>664</v>
      </c>
      <c r="W902" t="s">
        <v>668</v>
      </c>
      <c r="X902" t="s">
        <v>224</v>
      </c>
    </row>
    <row r="903" spans="1:25">
      <c r="A903">
        <v>13529</v>
      </c>
      <c r="B903" t="s">
        <v>25</v>
      </c>
      <c r="C903" t="str">
        <f t="shared" si="29"/>
        <v>INTEGRA Saloon</v>
      </c>
      <c r="D903" t="str">
        <f t="shared" si="28"/>
        <v>1.6</v>
      </c>
      <c r="E903" t="s">
        <v>26</v>
      </c>
      <c r="F903">
        <v>198501</v>
      </c>
      <c r="G903">
        <v>199012</v>
      </c>
      <c r="H903">
        <v>74</v>
      </c>
      <c r="I903">
        <v>100</v>
      </c>
      <c r="J903">
        <v>1590</v>
      </c>
      <c r="K903">
        <v>450082</v>
      </c>
      <c r="L903" t="s">
        <v>669</v>
      </c>
      <c r="M903" t="str">
        <f>"WBP21312B"</f>
        <v>WBP21312B</v>
      </c>
      <c r="N903" t="str">
        <f>"WBP21312B"</f>
        <v>WBP21312B</v>
      </c>
      <c r="O903" t="str">
        <f>""</f>
        <v/>
      </c>
      <c r="P903" t="s">
        <v>664</v>
      </c>
      <c r="Q903" t="str">
        <f>""</f>
        <v/>
      </c>
      <c r="R903" t="s">
        <v>670</v>
      </c>
      <c r="T903" s="1" t="s">
        <v>671</v>
      </c>
      <c r="U903">
        <v>402</v>
      </c>
      <c r="V903" t="s">
        <v>664</v>
      </c>
      <c r="W903" t="s">
        <v>668</v>
      </c>
      <c r="X903" t="s">
        <v>224</v>
      </c>
    </row>
    <row r="904" spans="1:25">
      <c r="A904">
        <v>13529</v>
      </c>
      <c r="B904" t="s">
        <v>25</v>
      </c>
      <c r="C904" t="str">
        <f t="shared" si="29"/>
        <v>INTEGRA Saloon</v>
      </c>
      <c r="D904" t="str">
        <f t="shared" si="28"/>
        <v>1.6</v>
      </c>
      <c r="E904" t="s">
        <v>26</v>
      </c>
      <c r="F904">
        <v>198501</v>
      </c>
      <c r="G904">
        <v>199012</v>
      </c>
      <c r="H904">
        <v>74</v>
      </c>
      <c r="I904">
        <v>100</v>
      </c>
      <c r="J904">
        <v>1590</v>
      </c>
      <c r="K904">
        <v>892662</v>
      </c>
      <c r="L904" t="s">
        <v>298</v>
      </c>
      <c r="M904" t="str">
        <f>"350767"</f>
        <v>350767</v>
      </c>
      <c r="N904" t="str">
        <f>"35-0767"</f>
        <v>35-0767</v>
      </c>
      <c r="O904" t="str">
        <f>""</f>
        <v/>
      </c>
      <c r="P904" t="s">
        <v>664</v>
      </c>
      <c r="Q904" t="str">
        <f>""</f>
        <v/>
      </c>
      <c r="R904" t="s">
        <v>672</v>
      </c>
      <c r="T904" t="s">
        <v>673</v>
      </c>
      <c r="U904">
        <v>402</v>
      </c>
      <c r="V904" t="s">
        <v>664</v>
      </c>
      <c r="W904" t="s">
        <v>668</v>
      </c>
      <c r="X904" t="s">
        <v>224</v>
      </c>
    </row>
    <row r="905" spans="1:25">
      <c r="A905">
        <v>13529</v>
      </c>
      <c r="B905" t="s">
        <v>25</v>
      </c>
      <c r="C905" t="str">
        <f t="shared" si="29"/>
        <v>INTEGRA Saloon</v>
      </c>
      <c r="D905" t="str">
        <f t="shared" si="28"/>
        <v>1.6</v>
      </c>
      <c r="E905" t="s">
        <v>26</v>
      </c>
      <c r="F905">
        <v>198501</v>
      </c>
      <c r="G905">
        <v>199012</v>
      </c>
      <c r="H905">
        <v>74</v>
      </c>
      <c r="I905">
        <v>100</v>
      </c>
      <c r="J905">
        <v>1590</v>
      </c>
      <c r="K905">
        <v>951929</v>
      </c>
      <c r="L905" t="s">
        <v>218</v>
      </c>
      <c r="M905" t="str">
        <f>"PRP0110"</f>
        <v>PRP0110</v>
      </c>
      <c r="N905" t="str">
        <f>"PRP0110"</f>
        <v>PRP0110</v>
      </c>
      <c r="O905" t="str">
        <f>""</f>
        <v/>
      </c>
      <c r="P905" t="s">
        <v>664</v>
      </c>
      <c r="Q905" t="str">
        <f>""</f>
        <v/>
      </c>
      <c r="R905" t="s">
        <v>674</v>
      </c>
      <c r="S905" t="s">
        <v>675</v>
      </c>
      <c r="T905" s="1" t="s">
        <v>676</v>
      </c>
      <c r="U905">
        <v>402</v>
      </c>
      <c r="V905" t="s">
        <v>664</v>
      </c>
      <c r="W905" t="s">
        <v>668</v>
      </c>
      <c r="X905" t="s">
        <v>224</v>
      </c>
    </row>
    <row r="906" spans="1:25">
      <c r="A906">
        <v>13529</v>
      </c>
      <c r="B906" t="s">
        <v>25</v>
      </c>
      <c r="C906" t="str">
        <f t="shared" si="29"/>
        <v>INTEGRA Saloon</v>
      </c>
      <c r="D906" t="str">
        <f t="shared" si="28"/>
        <v>1.6</v>
      </c>
      <c r="E906" t="s">
        <v>26</v>
      </c>
      <c r="F906">
        <v>198501</v>
      </c>
      <c r="G906">
        <v>199012</v>
      </c>
      <c r="H906">
        <v>74</v>
      </c>
      <c r="I906">
        <v>100</v>
      </c>
      <c r="J906">
        <v>1590</v>
      </c>
      <c r="K906">
        <v>958270</v>
      </c>
      <c r="L906" t="s">
        <v>218</v>
      </c>
      <c r="M906" t="str">
        <f>"PRP0566"</f>
        <v>PRP0566</v>
      </c>
      <c r="N906" t="str">
        <f>"PRP0566"</f>
        <v>PRP0566</v>
      </c>
      <c r="O906" t="str">
        <f>""</f>
        <v/>
      </c>
      <c r="P906" t="s">
        <v>664</v>
      </c>
      <c r="Q906" t="str">
        <f>""</f>
        <v/>
      </c>
      <c r="R906" t="s">
        <v>677</v>
      </c>
      <c r="S906" t="s">
        <v>678</v>
      </c>
      <c r="T906" s="1" t="s">
        <v>679</v>
      </c>
      <c r="U906">
        <v>402</v>
      </c>
      <c r="V906" t="s">
        <v>664</v>
      </c>
      <c r="W906" t="s">
        <v>668</v>
      </c>
      <c r="X906" t="s">
        <v>224</v>
      </c>
    </row>
    <row r="907" spans="1:25">
      <c r="A907">
        <v>13529</v>
      </c>
      <c r="B907" t="s">
        <v>25</v>
      </c>
      <c r="C907" t="str">
        <f t="shared" si="29"/>
        <v>INTEGRA Saloon</v>
      </c>
      <c r="D907" t="str">
        <f t="shared" si="28"/>
        <v>1.6</v>
      </c>
      <c r="E907" t="s">
        <v>26</v>
      </c>
      <c r="F907">
        <v>198501</v>
      </c>
      <c r="G907">
        <v>199012</v>
      </c>
      <c r="H907">
        <v>74</v>
      </c>
      <c r="I907">
        <v>100</v>
      </c>
      <c r="J907">
        <v>1590</v>
      </c>
      <c r="K907">
        <v>958314</v>
      </c>
      <c r="L907" t="s">
        <v>218</v>
      </c>
      <c r="M907" t="str">
        <f>"PRP0621"</f>
        <v>PRP0621</v>
      </c>
      <c r="N907" t="str">
        <f>"PRP0621"</f>
        <v>PRP0621</v>
      </c>
      <c r="O907" t="str">
        <f>""</f>
        <v/>
      </c>
      <c r="P907" t="s">
        <v>664</v>
      </c>
      <c r="Q907" t="str">
        <f>""</f>
        <v/>
      </c>
      <c r="R907" t="s">
        <v>680</v>
      </c>
      <c r="S907" t="s">
        <v>681</v>
      </c>
      <c r="T907" s="1" t="s">
        <v>682</v>
      </c>
      <c r="U907">
        <v>402</v>
      </c>
      <c r="V907" t="s">
        <v>664</v>
      </c>
      <c r="W907" t="s">
        <v>668</v>
      </c>
      <c r="X907" t="s">
        <v>224</v>
      </c>
    </row>
    <row r="908" spans="1:25">
      <c r="A908">
        <v>13529</v>
      </c>
      <c r="B908" t="s">
        <v>25</v>
      </c>
      <c r="C908" t="str">
        <f t="shared" si="29"/>
        <v>INTEGRA Saloon</v>
      </c>
      <c r="D908" t="str">
        <f t="shared" si="28"/>
        <v>1.6</v>
      </c>
      <c r="E908" t="s">
        <v>26</v>
      </c>
      <c r="F908">
        <v>198501</v>
      </c>
      <c r="G908">
        <v>199012</v>
      </c>
      <c r="H908">
        <v>74</v>
      </c>
      <c r="I908">
        <v>100</v>
      </c>
      <c r="J908">
        <v>1590</v>
      </c>
      <c r="K908">
        <v>1022686</v>
      </c>
      <c r="L908" t="s">
        <v>683</v>
      </c>
      <c r="M908" t="str">
        <f>"31277"</f>
        <v>31277</v>
      </c>
      <c r="N908" t="str">
        <f>"31277"</f>
        <v>31277</v>
      </c>
      <c r="O908" t="str">
        <f>"20099"</f>
        <v>20099</v>
      </c>
      <c r="P908" t="s">
        <v>664</v>
      </c>
      <c r="Q908" t="str">
        <f>""</f>
        <v/>
      </c>
      <c r="R908" t="s">
        <v>684</v>
      </c>
      <c r="S908" t="s">
        <v>685</v>
      </c>
      <c r="T908" s="1" t="s">
        <v>686</v>
      </c>
      <c r="U908">
        <v>402</v>
      </c>
      <c r="V908" t="s">
        <v>664</v>
      </c>
      <c r="W908" t="s">
        <v>668</v>
      </c>
      <c r="X908" t="s">
        <v>224</v>
      </c>
    </row>
    <row r="909" spans="1:25">
      <c r="A909">
        <v>13529</v>
      </c>
      <c r="B909" t="s">
        <v>25</v>
      </c>
      <c r="C909" t="str">
        <f t="shared" si="29"/>
        <v>INTEGRA Saloon</v>
      </c>
      <c r="D909" t="str">
        <f t="shared" si="28"/>
        <v>1.6</v>
      </c>
      <c r="E909" t="s">
        <v>26</v>
      </c>
      <c r="F909">
        <v>198501</v>
      </c>
      <c r="G909">
        <v>199012</v>
      </c>
      <c r="H909">
        <v>74</v>
      </c>
      <c r="I909">
        <v>100</v>
      </c>
      <c r="J909">
        <v>1590</v>
      </c>
      <c r="K909">
        <v>1022809</v>
      </c>
      <c r="L909" t="s">
        <v>683</v>
      </c>
      <c r="M909" t="str">
        <f>"31742"</f>
        <v>31742</v>
      </c>
      <c r="N909" t="str">
        <f>"31742"</f>
        <v>31742</v>
      </c>
      <c r="O909" t="str">
        <f>"21446"</f>
        <v>21446</v>
      </c>
      <c r="P909" t="s">
        <v>664</v>
      </c>
      <c r="Q909" t="str">
        <f>""</f>
        <v/>
      </c>
      <c r="R909" t="s">
        <v>687</v>
      </c>
      <c r="S909" t="s">
        <v>688</v>
      </c>
      <c r="T909" s="1" t="s">
        <v>689</v>
      </c>
      <c r="U909">
        <v>402</v>
      </c>
      <c r="V909" t="s">
        <v>664</v>
      </c>
      <c r="W909" t="s">
        <v>668</v>
      </c>
      <c r="X909" t="s">
        <v>224</v>
      </c>
    </row>
    <row r="910" spans="1:25">
      <c r="A910">
        <v>13529</v>
      </c>
      <c r="B910" t="s">
        <v>25</v>
      </c>
      <c r="C910" t="str">
        <f t="shared" si="29"/>
        <v>INTEGRA Saloon</v>
      </c>
      <c r="D910" t="str">
        <f t="shared" si="28"/>
        <v>1.6</v>
      </c>
      <c r="E910" t="s">
        <v>26</v>
      </c>
      <c r="F910">
        <v>198501</v>
      </c>
      <c r="G910">
        <v>199012</v>
      </c>
      <c r="H910">
        <v>74</v>
      </c>
      <c r="I910">
        <v>100</v>
      </c>
      <c r="J910">
        <v>1590</v>
      </c>
      <c r="K910">
        <v>1072406</v>
      </c>
      <c r="L910" t="s">
        <v>690</v>
      </c>
      <c r="M910" t="str">
        <f>"8DB355005731"</f>
        <v>8DB355005731</v>
      </c>
      <c r="N910" t="str">
        <f>"8DB 355 005-731"</f>
        <v>8DB 355 005-731</v>
      </c>
      <c r="O910" t="str">
        <f>""</f>
        <v/>
      </c>
      <c r="P910" t="s">
        <v>664</v>
      </c>
      <c r="Q910" t="str">
        <f>"4082300350043"</f>
        <v>4082300350043</v>
      </c>
      <c r="R910" t="s">
        <v>691</v>
      </c>
      <c r="S910" t="s">
        <v>221</v>
      </c>
      <c r="T910" s="1" t="s">
        <v>692</v>
      </c>
      <c r="U910">
        <v>402</v>
      </c>
      <c r="V910" t="s">
        <v>664</v>
      </c>
      <c r="W910" t="s">
        <v>668</v>
      </c>
      <c r="X910" t="s">
        <v>224</v>
      </c>
    </row>
    <row r="911" spans="1:25">
      <c r="A911">
        <v>13529</v>
      </c>
      <c r="B911" t="s">
        <v>25</v>
      </c>
      <c r="C911" t="str">
        <f t="shared" si="29"/>
        <v>INTEGRA Saloon</v>
      </c>
      <c r="D911" t="str">
        <f t="shared" si="28"/>
        <v>1.6</v>
      </c>
      <c r="E911" t="s">
        <v>26</v>
      </c>
      <c r="F911">
        <v>198501</v>
      </c>
      <c r="G911">
        <v>199012</v>
      </c>
      <c r="H911">
        <v>74</v>
      </c>
      <c r="I911">
        <v>100</v>
      </c>
      <c r="J911">
        <v>1590</v>
      </c>
      <c r="K911">
        <v>1072459</v>
      </c>
      <c r="L911" t="s">
        <v>690</v>
      </c>
      <c r="M911" t="str">
        <f>"8DB355006261"</f>
        <v>8DB355006261</v>
      </c>
      <c r="N911" t="str">
        <f>"8DB 355 006-261"</f>
        <v>8DB 355 006-261</v>
      </c>
      <c r="O911" t="str">
        <f>""</f>
        <v/>
      </c>
      <c r="P911" t="s">
        <v>664</v>
      </c>
      <c r="Q911" t="str">
        <f>"4082300350579"</f>
        <v>4082300350579</v>
      </c>
      <c r="R911" t="s">
        <v>693</v>
      </c>
      <c r="S911" t="s">
        <v>310</v>
      </c>
      <c r="T911" s="1" t="s">
        <v>694</v>
      </c>
      <c r="U911">
        <v>402</v>
      </c>
      <c r="V911" t="s">
        <v>664</v>
      </c>
      <c r="W911" t="s">
        <v>668</v>
      </c>
      <c r="X911" t="s">
        <v>224</v>
      </c>
    </row>
    <row r="912" spans="1:25">
      <c r="A912">
        <v>13529</v>
      </c>
      <c r="B912" t="s">
        <v>25</v>
      </c>
      <c r="C912" t="str">
        <f t="shared" si="29"/>
        <v>INTEGRA Saloon</v>
      </c>
      <c r="D912" t="str">
        <f t="shared" si="28"/>
        <v>1.6</v>
      </c>
      <c r="E912" t="s">
        <v>26</v>
      </c>
      <c r="F912">
        <v>198501</v>
      </c>
      <c r="G912">
        <v>199012</v>
      </c>
      <c r="H912">
        <v>74</v>
      </c>
      <c r="I912">
        <v>100</v>
      </c>
      <c r="J912">
        <v>1590</v>
      </c>
      <c r="K912">
        <v>1099099</v>
      </c>
      <c r="L912" t="s">
        <v>318</v>
      </c>
      <c r="M912" t="str">
        <f>"13046059182"</f>
        <v>13046059182</v>
      </c>
      <c r="N912" t="str">
        <f>"13.0460-5918.2"</f>
        <v>13.0460-5918.2</v>
      </c>
      <c r="O912" t="str">
        <f>"605918"</f>
        <v>605918</v>
      </c>
      <c r="P912" t="s">
        <v>664</v>
      </c>
      <c r="Q912" t="str">
        <f>"4006633130691"</f>
        <v>4006633130691</v>
      </c>
      <c r="R912" t="s">
        <v>695</v>
      </c>
      <c r="S912" t="s">
        <v>696</v>
      </c>
      <c r="T912" s="1" t="s">
        <v>697</v>
      </c>
      <c r="U912">
        <v>402</v>
      </c>
      <c r="V912" t="s">
        <v>664</v>
      </c>
      <c r="W912" t="s">
        <v>668</v>
      </c>
      <c r="X912" t="s">
        <v>224</v>
      </c>
    </row>
    <row r="913" spans="1:24">
      <c r="A913">
        <v>13529</v>
      </c>
      <c r="B913" t="s">
        <v>25</v>
      </c>
      <c r="C913" t="str">
        <f t="shared" si="29"/>
        <v>INTEGRA Saloon</v>
      </c>
      <c r="D913" t="str">
        <f t="shared" si="28"/>
        <v>1.6</v>
      </c>
      <c r="E913" t="s">
        <v>26</v>
      </c>
      <c r="F913">
        <v>198501</v>
      </c>
      <c r="G913">
        <v>199012</v>
      </c>
      <c r="H913">
        <v>74</v>
      </c>
      <c r="I913">
        <v>100</v>
      </c>
      <c r="J913">
        <v>1590</v>
      </c>
      <c r="K913">
        <v>1152109</v>
      </c>
      <c r="L913" t="s">
        <v>698</v>
      </c>
      <c r="M913" t="str">
        <f>"T0034"</f>
        <v>T0034</v>
      </c>
      <c r="N913" t="str">
        <f>"T0034"</f>
        <v>T0034</v>
      </c>
      <c r="O913" t="str">
        <f>""</f>
        <v/>
      </c>
      <c r="P913" t="s">
        <v>664</v>
      </c>
      <c r="Q913" t="str">
        <f>"4007590005787"</f>
        <v>4007590005787</v>
      </c>
      <c r="R913" t="s">
        <v>699</v>
      </c>
      <c r="S913" t="s">
        <v>221</v>
      </c>
      <c r="T913" s="1" t="s">
        <v>700</v>
      </c>
      <c r="U913">
        <v>402</v>
      </c>
      <c r="V913" t="s">
        <v>664</v>
      </c>
      <c r="W913" t="s">
        <v>668</v>
      </c>
      <c r="X913" t="s">
        <v>224</v>
      </c>
    </row>
    <row r="914" spans="1:24">
      <c r="A914">
        <v>13529</v>
      </c>
      <c r="B914" t="s">
        <v>25</v>
      </c>
      <c r="C914" t="str">
        <f t="shared" si="29"/>
        <v>INTEGRA Saloon</v>
      </c>
      <c r="D914" t="str">
        <f t="shared" si="28"/>
        <v>1.6</v>
      </c>
      <c r="E914" t="s">
        <v>26</v>
      </c>
      <c r="F914">
        <v>198501</v>
      </c>
      <c r="G914">
        <v>199012</v>
      </c>
      <c r="H914">
        <v>74</v>
      </c>
      <c r="I914">
        <v>100</v>
      </c>
      <c r="J914">
        <v>1590</v>
      </c>
      <c r="K914">
        <v>1152163</v>
      </c>
      <c r="L914" t="s">
        <v>698</v>
      </c>
      <c r="M914" t="str">
        <f>"T0365"</f>
        <v>T0365</v>
      </c>
      <c r="N914" t="str">
        <f>"T0365"</f>
        <v>T0365</v>
      </c>
      <c r="O914" t="str">
        <f>"20099"</f>
        <v>20099</v>
      </c>
      <c r="P914" t="s">
        <v>664</v>
      </c>
      <c r="Q914" t="str">
        <f>"4007590000508"</f>
        <v>4007590000508</v>
      </c>
      <c r="R914" t="s">
        <v>701</v>
      </c>
      <c r="S914" t="s">
        <v>310</v>
      </c>
      <c r="T914" s="1" t="s">
        <v>702</v>
      </c>
      <c r="U914">
        <v>402</v>
      </c>
      <c r="V914" t="s">
        <v>664</v>
      </c>
      <c r="W914" t="s">
        <v>668</v>
      </c>
      <c r="X914" t="s">
        <v>224</v>
      </c>
    </row>
    <row r="915" spans="1:24">
      <c r="A915">
        <v>13529</v>
      </c>
      <c r="B915" t="s">
        <v>25</v>
      </c>
      <c r="C915" t="str">
        <f t="shared" si="29"/>
        <v>INTEGRA Saloon</v>
      </c>
      <c r="D915" t="str">
        <f t="shared" si="28"/>
        <v>1.6</v>
      </c>
      <c r="E915" t="s">
        <v>26</v>
      </c>
      <c r="F915">
        <v>198501</v>
      </c>
      <c r="G915">
        <v>199012</v>
      </c>
      <c r="H915">
        <v>74</v>
      </c>
      <c r="I915">
        <v>100</v>
      </c>
      <c r="J915">
        <v>1590</v>
      </c>
      <c r="K915">
        <v>1280894</v>
      </c>
      <c r="L915" t="s">
        <v>66</v>
      </c>
      <c r="M915" t="str">
        <f>"598286"</f>
        <v>598286</v>
      </c>
      <c r="N915" t="str">
        <f>"598286"</f>
        <v>598286</v>
      </c>
      <c r="O915" t="str">
        <f>"21312"</f>
        <v>21312</v>
      </c>
      <c r="P915" t="s">
        <v>664</v>
      </c>
      <c r="Q915" t="str">
        <f>"3276425982864"</f>
        <v>3276425982864</v>
      </c>
      <c r="R915" s="1" t="s">
        <v>703</v>
      </c>
      <c r="T915" t="s">
        <v>704</v>
      </c>
      <c r="U915">
        <v>402</v>
      </c>
      <c r="V915" t="s">
        <v>664</v>
      </c>
      <c r="W915" t="s">
        <v>668</v>
      </c>
      <c r="X915" t="s">
        <v>224</v>
      </c>
    </row>
    <row r="916" spans="1:24">
      <c r="A916">
        <v>13529</v>
      </c>
      <c r="B916" t="s">
        <v>25</v>
      </c>
      <c r="C916" t="str">
        <f t="shared" si="29"/>
        <v>INTEGRA Saloon</v>
      </c>
      <c r="D916" t="str">
        <f t="shared" si="28"/>
        <v>1.6</v>
      </c>
      <c r="E916" t="s">
        <v>26</v>
      </c>
      <c r="F916">
        <v>198501</v>
      </c>
      <c r="G916">
        <v>199012</v>
      </c>
      <c r="H916">
        <v>74</v>
      </c>
      <c r="I916">
        <v>100</v>
      </c>
      <c r="J916">
        <v>1590</v>
      </c>
      <c r="K916">
        <v>1281462</v>
      </c>
      <c r="L916" t="s">
        <v>66</v>
      </c>
      <c r="M916" t="str">
        <f>"598902"</f>
        <v>598902</v>
      </c>
      <c r="N916" t="str">
        <f>"598902"</f>
        <v>598902</v>
      </c>
      <c r="O916" t="str">
        <f>""</f>
        <v/>
      </c>
      <c r="P916" t="s">
        <v>664</v>
      </c>
      <c r="Q916" t="str">
        <f>"3276425989023"</f>
        <v>3276425989023</v>
      </c>
      <c r="R916" t="s">
        <v>705</v>
      </c>
      <c r="T916" s="1" t="s">
        <v>706</v>
      </c>
      <c r="U916">
        <v>402</v>
      </c>
      <c r="V916" t="s">
        <v>664</v>
      </c>
      <c r="W916" t="s">
        <v>668</v>
      </c>
      <c r="X916" t="s">
        <v>224</v>
      </c>
    </row>
    <row r="917" spans="1:24">
      <c r="A917">
        <v>13529</v>
      </c>
      <c r="B917" t="s">
        <v>25</v>
      </c>
      <c r="C917" t="str">
        <f t="shared" si="29"/>
        <v>INTEGRA Saloon</v>
      </c>
      <c r="D917" t="str">
        <f t="shared" si="28"/>
        <v>1.6</v>
      </c>
      <c r="E917" t="s">
        <v>26</v>
      </c>
      <c r="F917">
        <v>198501</v>
      </c>
      <c r="G917">
        <v>199012</v>
      </c>
      <c r="H917">
        <v>74</v>
      </c>
      <c r="I917">
        <v>100</v>
      </c>
      <c r="J917">
        <v>1590</v>
      </c>
      <c r="K917">
        <v>1626971</v>
      </c>
      <c r="L917" t="s">
        <v>707</v>
      </c>
      <c r="M917" t="str">
        <f>"2009902"</f>
        <v>2009902</v>
      </c>
      <c r="N917" t="str">
        <f>"2009902"</f>
        <v>2009902</v>
      </c>
      <c r="O917" t="str">
        <f>"20099"</f>
        <v>20099</v>
      </c>
      <c r="P917" t="s">
        <v>664</v>
      </c>
      <c r="Q917" t="str">
        <f>"4019722180644"</f>
        <v>4019722180644</v>
      </c>
      <c r="R917" t="s">
        <v>708</v>
      </c>
      <c r="S917" t="s">
        <v>310</v>
      </c>
      <c r="T917" s="1" t="s">
        <v>709</v>
      </c>
      <c r="U917">
        <v>402</v>
      </c>
      <c r="V917" t="s">
        <v>664</v>
      </c>
      <c r="W917" t="s">
        <v>668</v>
      </c>
      <c r="X917" t="s">
        <v>224</v>
      </c>
    </row>
    <row r="918" spans="1:24">
      <c r="A918">
        <v>13529</v>
      </c>
      <c r="B918" t="s">
        <v>25</v>
      </c>
      <c r="C918" t="str">
        <f t="shared" si="29"/>
        <v>INTEGRA Saloon</v>
      </c>
      <c r="D918" t="str">
        <f t="shared" si="28"/>
        <v>1.6</v>
      </c>
      <c r="E918" t="s">
        <v>26</v>
      </c>
      <c r="F918">
        <v>198501</v>
      </c>
      <c r="G918">
        <v>199012</v>
      </c>
      <c r="H918">
        <v>74</v>
      </c>
      <c r="I918">
        <v>100</v>
      </c>
      <c r="J918">
        <v>1590</v>
      </c>
      <c r="K918">
        <v>1627312</v>
      </c>
      <c r="L918" t="s">
        <v>707</v>
      </c>
      <c r="M918" t="str">
        <f>"2131201"</f>
        <v>2131201</v>
      </c>
      <c r="N918" t="str">
        <f>"2131201"</f>
        <v>2131201</v>
      </c>
      <c r="O918" t="str">
        <f>"21312"</f>
        <v>21312</v>
      </c>
      <c r="P918" t="s">
        <v>664</v>
      </c>
      <c r="Q918" t="str">
        <f>"4019722156403"</f>
        <v>4019722156403</v>
      </c>
      <c r="R918" t="s">
        <v>710</v>
      </c>
      <c r="S918" t="s">
        <v>221</v>
      </c>
      <c r="T918" s="1" t="s">
        <v>711</v>
      </c>
      <c r="U918">
        <v>402</v>
      </c>
      <c r="V918" t="s">
        <v>664</v>
      </c>
      <c r="W918" t="s">
        <v>668</v>
      </c>
      <c r="X918" t="s">
        <v>224</v>
      </c>
    </row>
    <row r="919" spans="1:24">
      <c r="A919">
        <v>13529</v>
      </c>
      <c r="B919" t="s">
        <v>25</v>
      </c>
      <c r="C919" t="str">
        <f t="shared" si="29"/>
        <v>INTEGRA Saloon</v>
      </c>
      <c r="D919" t="str">
        <f t="shared" si="28"/>
        <v>1.6</v>
      </c>
      <c r="E919" t="s">
        <v>26</v>
      </c>
      <c r="F919">
        <v>198501</v>
      </c>
      <c r="G919">
        <v>199012</v>
      </c>
      <c r="H919">
        <v>74</v>
      </c>
      <c r="I919">
        <v>100</v>
      </c>
      <c r="J919">
        <v>1590</v>
      </c>
      <c r="K919">
        <v>1680412</v>
      </c>
      <c r="L919" t="s">
        <v>225</v>
      </c>
      <c r="M919" t="str">
        <f>"572135J"</f>
        <v>572135J</v>
      </c>
      <c r="N919" t="str">
        <f>"572135J"</f>
        <v>572135J</v>
      </c>
      <c r="O919" t="str">
        <f>"21312"</f>
        <v>21312</v>
      </c>
      <c r="P919" t="s">
        <v>664</v>
      </c>
      <c r="Q919" t="str">
        <f>"3306435017673"</f>
        <v>3306435017673</v>
      </c>
      <c r="R919" t="s">
        <v>712</v>
      </c>
      <c r="T919" s="1" t="s">
        <v>713</v>
      </c>
      <c r="U919">
        <v>402</v>
      </c>
      <c r="V919" t="s">
        <v>664</v>
      </c>
      <c r="W919" t="s">
        <v>668</v>
      </c>
      <c r="X919" t="s">
        <v>224</v>
      </c>
    </row>
    <row r="920" spans="1:24">
      <c r="A920">
        <v>13529</v>
      </c>
      <c r="B920" t="s">
        <v>25</v>
      </c>
      <c r="C920" t="str">
        <f t="shared" si="29"/>
        <v>INTEGRA Saloon</v>
      </c>
      <c r="D920" t="str">
        <f t="shared" si="28"/>
        <v>1.6</v>
      </c>
      <c r="E920" t="s">
        <v>26</v>
      </c>
      <c r="F920">
        <v>198501</v>
      </c>
      <c r="G920">
        <v>199012</v>
      </c>
      <c r="H920">
        <v>74</v>
      </c>
      <c r="I920">
        <v>100</v>
      </c>
      <c r="J920">
        <v>1590</v>
      </c>
      <c r="K920">
        <v>1680521</v>
      </c>
      <c r="L920" t="s">
        <v>225</v>
      </c>
      <c r="M920" t="str">
        <f>"572288J"</f>
        <v>572288J</v>
      </c>
      <c r="N920" t="str">
        <f>"572288J"</f>
        <v>572288J</v>
      </c>
      <c r="O920" t="str">
        <f>"20099"</f>
        <v>20099</v>
      </c>
      <c r="P920" t="s">
        <v>664</v>
      </c>
      <c r="Q920" t="str">
        <f>"3306435020499"</f>
        <v>3306435020499</v>
      </c>
      <c r="R920" t="s">
        <v>714</v>
      </c>
      <c r="T920" s="1" t="s">
        <v>715</v>
      </c>
      <c r="U920">
        <v>402</v>
      </c>
      <c r="V920" t="s">
        <v>664</v>
      </c>
      <c r="W920" t="s">
        <v>668</v>
      </c>
      <c r="X920" t="s">
        <v>224</v>
      </c>
    </row>
    <row r="921" spans="1:24">
      <c r="A921">
        <v>13529</v>
      </c>
      <c r="B921" t="s">
        <v>25</v>
      </c>
      <c r="C921" t="str">
        <f t="shared" si="29"/>
        <v>INTEGRA Saloon</v>
      </c>
      <c r="D921" t="str">
        <f t="shared" si="28"/>
        <v>1.6</v>
      </c>
      <c r="E921" t="s">
        <v>26</v>
      </c>
      <c r="F921">
        <v>198501</v>
      </c>
      <c r="G921">
        <v>199012</v>
      </c>
      <c r="H921">
        <v>74</v>
      </c>
      <c r="I921">
        <v>100</v>
      </c>
      <c r="J921">
        <v>1590</v>
      </c>
      <c r="K921">
        <v>1694657</v>
      </c>
      <c r="L921" t="s">
        <v>332</v>
      </c>
      <c r="M921" t="str">
        <f>"571977B"</f>
        <v>571977B</v>
      </c>
      <c r="N921" t="str">
        <f>"571977B"</f>
        <v>571977B</v>
      </c>
      <c r="O921" t="str">
        <f>"21312"</f>
        <v>21312</v>
      </c>
      <c r="P921" t="s">
        <v>664</v>
      </c>
      <c r="Q921" t="str">
        <f>"3306435051714"</f>
        <v>3306435051714</v>
      </c>
      <c r="R921" t="s">
        <v>716</v>
      </c>
      <c r="S921" t="s">
        <v>717</v>
      </c>
      <c r="T921" s="1" t="s">
        <v>718</v>
      </c>
      <c r="U921">
        <v>402</v>
      </c>
      <c r="V921" t="s">
        <v>664</v>
      </c>
      <c r="W921" t="s">
        <v>668</v>
      </c>
      <c r="X921" t="s">
        <v>224</v>
      </c>
    </row>
    <row r="922" spans="1:24">
      <c r="A922">
        <v>13529</v>
      </c>
      <c r="B922" t="s">
        <v>25</v>
      </c>
      <c r="C922" t="str">
        <f t="shared" si="29"/>
        <v>INTEGRA Saloon</v>
      </c>
      <c r="D922" t="str">
        <f t="shared" si="28"/>
        <v>1.6</v>
      </c>
      <c r="E922" t="s">
        <v>26</v>
      </c>
      <c r="F922">
        <v>198501</v>
      </c>
      <c r="G922">
        <v>199012</v>
      </c>
      <c r="H922">
        <v>74</v>
      </c>
      <c r="I922">
        <v>100</v>
      </c>
      <c r="J922">
        <v>1590</v>
      </c>
      <c r="K922">
        <v>1694658</v>
      </c>
      <c r="L922" t="s">
        <v>332</v>
      </c>
      <c r="M922" t="str">
        <f>"571977X"</f>
        <v>571977X</v>
      </c>
      <c r="N922" t="str">
        <f>"571977X"</f>
        <v>571977X</v>
      </c>
      <c r="O922" t="str">
        <f>"21312"</f>
        <v>21312</v>
      </c>
      <c r="P922" t="s">
        <v>664</v>
      </c>
      <c r="Q922" t="str">
        <f>""</f>
        <v/>
      </c>
      <c r="R922" t="s">
        <v>719</v>
      </c>
      <c r="S922" t="s">
        <v>717</v>
      </c>
      <c r="T922" s="1" t="s">
        <v>718</v>
      </c>
      <c r="U922">
        <v>402</v>
      </c>
      <c r="V922" t="s">
        <v>664</v>
      </c>
      <c r="W922" t="s">
        <v>668</v>
      </c>
      <c r="X922" t="s">
        <v>224</v>
      </c>
    </row>
    <row r="923" spans="1:24">
      <c r="A923">
        <v>13529</v>
      </c>
      <c r="B923" t="s">
        <v>25</v>
      </c>
      <c r="C923" t="str">
        <f t="shared" si="29"/>
        <v>INTEGRA Saloon</v>
      </c>
      <c r="D923" t="str">
        <f t="shared" si="28"/>
        <v>1.6</v>
      </c>
      <c r="E923" t="s">
        <v>26</v>
      </c>
      <c r="F923">
        <v>198501</v>
      </c>
      <c r="G923">
        <v>199012</v>
      </c>
      <c r="H923">
        <v>74</v>
      </c>
      <c r="I923">
        <v>100</v>
      </c>
      <c r="J923">
        <v>1590</v>
      </c>
      <c r="K923">
        <v>1694829</v>
      </c>
      <c r="L923" t="s">
        <v>332</v>
      </c>
      <c r="M923" t="str">
        <f>"572309B"</f>
        <v>572309B</v>
      </c>
      <c r="N923" t="str">
        <f>"572309B"</f>
        <v>572309B</v>
      </c>
      <c r="O923" t="str">
        <f>"21446"</f>
        <v>21446</v>
      </c>
      <c r="P923" t="s">
        <v>664</v>
      </c>
      <c r="Q923" t="str">
        <f>"3306430346006"</f>
        <v>3306430346006</v>
      </c>
      <c r="R923" t="s">
        <v>720</v>
      </c>
      <c r="S923" t="s">
        <v>678</v>
      </c>
      <c r="T923" s="1" t="s">
        <v>721</v>
      </c>
      <c r="U923">
        <v>402</v>
      </c>
      <c r="V923" t="s">
        <v>664</v>
      </c>
      <c r="W923" t="s">
        <v>668</v>
      </c>
      <c r="X923" t="s">
        <v>224</v>
      </c>
    </row>
    <row r="924" spans="1:24">
      <c r="A924">
        <v>13529</v>
      </c>
      <c r="B924" t="s">
        <v>25</v>
      </c>
      <c r="C924" t="str">
        <f t="shared" si="29"/>
        <v>INTEGRA Saloon</v>
      </c>
      <c r="D924" t="str">
        <f t="shared" si="28"/>
        <v>1.6</v>
      </c>
      <c r="E924" t="s">
        <v>26</v>
      </c>
      <c r="F924">
        <v>198501</v>
      </c>
      <c r="G924">
        <v>199012</v>
      </c>
      <c r="H924">
        <v>74</v>
      </c>
      <c r="I924">
        <v>100</v>
      </c>
      <c r="J924">
        <v>1590</v>
      </c>
      <c r="K924">
        <v>1694848</v>
      </c>
      <c r="L924" t="s">
        <v>332</v>
      </c>
      <c r="M924" t="str">
        <f>"572330B"</f>
        <v>572330B</v>
      </c>
      <c r="N924" t="str">
        <f>"572330B"</f>
        <v>572330B</v>
      </c>
      <c r="O924" t="str">
        <f>"21323"</f>
        <v>21323</v>
      </c>
      <c r="P924" t="s">
        <v>664</v>
      </c>
      <c r="Q924" t="str">
        <f>"3306430346303"</f>
        <v>3306430346303</v>
      </c>
      <c r="R924" t="s">
        <v>722</v>
      </c>
      <c r="S924" t="s">
        <v>316</v>
      </c>
      <c r="T924" s="1" t="s">
        <v>723</v>
      </c>
      <c r="U924">
        <v>402</v>
      </c>
      <c r="V924" t="s">
        <v>664</v>
      </c>
      <c r="W924" t="s">
        <v>668</v>
      </c>
      <c r="X924" t="s">
        <v>224</v>
      </c>
    </row>
    <row r="925" spans="1:24">
      <c r="A925">
        <v>13529</v>
      </c>
      <c r="B925" t="s">
        <v>25</v>
      </c>
      <c r="C925" t="str">
        <f t="shared" si="29"/>
        <v>INTEGRA Saloon</v>
      </c>
      <c r="D925" t="str">
        <f t="shared" si="28"/>
        <v>1.6</v>
      </c>
      <c r="E925" t="s">
        <v>26</v>
      </c>
      <c r="F925">
        <v>198501</v>
      </c>
      <c r="G925">
        <v>199012</v>
      </c>
      <c r="H925">
        <v>74</v>
      </c>
      <c r="I925">
        <v>100</v>
      </c>
      <c r="J925">
        <v>1590</v>
      </c>
      <c r="K925">
        <v>1711748</v>
      </c>
      <c r="L925" t="s">
        <v>724</v>
      </c>
      <c r="M925" t="str">
        <f>"BL1021A2"</f>
        <v>BL1021A2</v>
      </c>
      <c r="N925" t="str">
        <f>"BL1021A2"</f>
        <v>BL1021A2</v>
      </c>
      <c r="O925" t="str">
        <f>"20099"</f>
        <v>20099</v>
      </c>
      <c r="P925" t="s">
        <v>664</v>
      </c>
      <c r="Q925" t="str">
        <f>"4028569283401"</f>
        <v>4028569283401</v>
      </c>
      <c r="R925" t="s">
        <v>725</v>
      </c>
      <c r="S925" t="s">
        <v>726</v>
      </c>
      <c r="T925" s="1" t="s">
        <v>727</v>
      </c>
      <c r="U925">
        <v>402</v>
      </c>
      <c r="V925" t="s">
        <v>664</v>
      </c>
      <c r="W925" t="s">
        <v>668</v>
      </c>
      <c r="X925" t="s">
        <v>224</v>
      </c>
    </row>
    <row r="926" spans="1:24">
      <c r="A926">
        <v>13529</v>
      </c>
      <c r="B926" t="s">
        <v>25</v>
      </c>
      <c r="C926" t="str">
        <f t="shared" si="29"/>
        <v>INTEGRA Saloon</v>
      </c>
      <c r="D926" t="str">
        <f t="shared" si="28"/>
        <v>1.6</v>
      </c>
      <c r="E926" t="s">
        <v>26</v>
      </c>
      <c r="F926">
        <v>198501</v>
      </c>
      <c r="G926">
        <v>199012</v>
      </c>
      <c r="H926">
        <v>74</v>
      </c>
      <c r="I926">
        <v>100</v>
      </c>
      <c r="J926">
        <v>1590</v>
      </c>
      <c r="K926">
        <v>1712049</v>
      </c>
      <c r="L926" t="s">
        <v>724</v>
      </c>
      <c r="M926" t="str">
        <f>"BL1321A2"</f>
        <v>BL1321A2</v>
      </c>
      <c r="N926" t="str">
        <f>"BL1321A2"</f>
        <v>BL1321A2</v>
      </c>
      <c r="O926" t="str">
        <f>"21446"</f>
        <v>21446</v>
      </c>
      <c r="P926" t="s">
        <v>664</v>
      </c>
      <c r="Q926" t="str">
        <f>"4028569286518"</f>
        <v>4028569286518</v>
      </c>
      <c r="R926" t="s">
        <v>728</v>
      </c>
      <c r="S926" t="s">
        <v>729</v>
      </c>
      <c r="T926" s="1" t="s">
        <v>730</v>
      </c>
      <c r="U926">
        <v>402</v>
      </c>
      <c r="V926" t="s">
        <v>664</v>
      </c>
      <c r="W926" t="s">
        <v>668</v>
      </c>
      <c r="X926" t="s">
        <v>224</v>
      </c>
    </row>
    <row r="927" spans="1:24">
      <c r="A927">
        <v>13529</v>
      </c>
      <c r="B927" t="s">
        <v>25</v>
      </c>
      <c r="C927" t="str">
        <f t="shared" si="29"/>
        <v>INTEGRA Saloon</v>
      </c>
      <c r="D927" t="str">
        <f t="shared" si="28"/>
        <v>1.6</v>
      </c>
      <c r="E927" t="s">
        <v>26</v>
      </c>
      <c r="F927">
        <v>198501</v>
      </c>
      <c r="G927">
        <v>199012</v>
      </c>
      <c r="H927">
        <v>74</v>
      </c>
      <c r="I927">
        <v>100</v>
      </c>
      <c r="J927">
        <v>1590</v>
      </c>
      <c r="K927">
        <v>1713197</v>
      </c>
      <c r="L927" t="s">
        <v>724</v>
      </c>
      <c r="M927" t="str">
        <f>"BL2349A1"</f>
        <v>BL2349A1</v>
      </c>
      <c r="N927" t="str">
        <f>"BL2349A1"</f>
        <v>BL2349A1</v>
      </c>
      <c r="O927" t="str">
        <f>"21312"</f>
        <v>21312</v>
      </c>
      <c r="P927" t="s">
        <v>664</v>
      </c>
      <c r="Q927" t="str">
        <f>"4028569681870"</f>
        <v>4028569681870</v>
      </c>
      <c r="R927" s="1" t="s">
        <v>731</v>
      </c>
      <c r="S927" t="s">
        <v>732</v>
      </c>
      <c r="T927" s="1" t="s">
        <v>733</v>
      </c>
      <c r="U927">
        <v>402</v>
      </c>
      <c r="V927" t="s">
        <v>664</v>
      </c>
      <c r="W927" t="s">
        <v>668</v>
      </c>
      <c r="X927" t="s">
        <v>224</v>
      </c>
    </row>
    <row r="928" spans="1:24">
      <c r="A928">
        <v>13529</v>
      </c>
      <c r="B928" t="s">
        <v>25</v>
      </c>
      <c r="C928" t="str">
        <f t="shared" si="29"/>
        <v>INTEGRA Saloon</v>
      </c>
      <c r="D928" t="str">
        <f t="shared" si="28"/>
        <v>1.6</v>
      </c>
      <c r="E928" t="s">
        <v>26</v>
      </c>
      <c r="F928">
        <v>198501</v>
      </c>
      <c r="G928">
        <v>199012</v>
      </c>
      <c r="H928">
        <v>74</v>
      </c>
      <c r="I928">
        <v>100</v>
      </c>
      <c r="J928">
        <v>1590</v>
      </c>
      <c r="K928">
        <v>1713198</v>
      </c>
      <c r="L928" t="s">
        <v>724</v>
      </c>
      <c r="M928" t="str">
        <f>"BL2349B1"</f>
        <v>BL2349B1</v>
      </c>
      <c r="N928" t="str">
        <f>"BL2349B1"</f>
        <v>BL2349B1</v>
      </c>
      <c r="O928" t="str">
        <f>"21312"</f>
        <v>21312</v>
      </c>
      <c r="P928" t="s">
        <v>664</v>
      </c>
      <c r="Q928" t="str">
        <f>"4028569681887"</f>
        <v>4028569681887</v>
      </c>
      <c r="R928" s="1" t="s">
        <v>734</v>
      </c>
      <c r="S928" t="s">
        <v>732</v>
      </c>
      <c r="T928" s="1" t="s">
        <v>735</v>
      </c>
      <c r="U928">
        <v>402</v>
      </c>
      <c r="V928" t="s">
        <v>664</v>
      </c>
      <c r="W928" t="s">
        <v>668</v>
      </c>
      <c r="X928" t="s">
        <v>224</v>
      </c>
    </row>
    <row r="929" spans="1:24">
      <c r="A929">
        <v>13529</v>
      </c>
      <c r="B929" t="s">
        <v>25</v>
      </c>
      <c r="C929" t="str">
        <f t="shared" si="29"/>
        <v>INTEGRA Saloon</v>
      </c>
      <c r="D929" t="str">
        <f t="shared" si="28"/>
        <v>1.6</v>
      </c>
      <c r="E929" t="s">
        <v>26</v>
      </c>
      <c r="F929">
        <v>198501</v>
      </c>
      <c r="G929">
        <v>199012</v>
      </c>
      <c r="H929">
        <v>74</v>
      </c>
      <c r="I929">
        <v>100</v>
      </c>
      <c r="J929">
        <v>1590</v>
      </c>
      <c r="K929">
        <v>1817198</v>
      </c>
      <c r="L929" t="s">
        <v>228</v>
      </c>
      <c r="M929" t="str">
        <f>"FDB454"</f>
        <v>FDB454</v>
      </c>
      <c r="N929" t="str">
        <f>"FDB454"</f>
        <v>FDB454</v>
      </c>
      <c r="O929" t="str">
        <f>"20099"</f>
        <v>20099</v>
      </c>
      <c r="P929" t="s">
        <v>664</v>
      </c>
      <c r="Q929" t="str">
        <f>"5016687025378"</f>
        <v>5016687025378</v>
      </c>
      <c r="R929" s="1" t="s">
        <v>736</v>
      </c>
      <c r="T929" s="1" t="s">
        <v>737</v>
      </c>
      <c r="U929">
        <v>402</v>
      </c>
      <c r="V929" t="s">
        <v>664</v>
      </c>
      <c r="W929" t="s">
        <v>668</v>
      </c>
      <c r="X929" t="s">
        <v>224</v>
      </c>
    </row>
    <row r="930" spans="1:24">
      <c r="A930">
        <v>13529</v>
      </c>
      <c r="B930" t="s">
        <v>25</v>
      </c>
      <c r="C930" t="str">
        <f t="shared" si="29"/>
        <v>INTEGRA Saloon</v>
      </c>
      <c r="D930" t="str">
        <f t="shared" si="28"/>
        <v>1.6</v>
      </c>
      <c r="E930" t="s">
        <v>26</v>
      </c>
      <c r="F930">
        <v>198501</v>
      </c>
      <c r="G930">
        <v>199012</v>
      </c>
      <c r="H930">
        <v>74</v>
      </c>
      <c r="I930">
        <v>100</v>
      </c>
      <c r="J930">
        <v>1590</v>
      </c>
      <c r="K930">
        <v>1817220</v>
      </c>
      <c r="L930" t="s">
        <v>228</v>
      </c>
      <c r="M930" t="str">
        <f>"FDB472"</f>
        <v>FDB472</v>
      </c>
      <c r="N930" t="str">
        <f>"FDB472"</f>
        <v>FDB472</v>
      </c>
      <c r="O930" t="str">
        <f>"21312"</f>
        <v>21312</v>
      </c>
      <c r="P930" t="s">
        <v>664</v>
      </c>
      <c r="Q930" t="str">
        <f>"5016687026276"</f>
        <v>5016687026276</v>
      </c>
      <c r="R930" s="1" t="s">
        <v>738</v>
      </c>
      <c r="T930" s="1" t="s">
        <v>739</v>
      </c>
      <c r="U930">
        <v>402</v>
      </c>
      <c r="V930" t="s">
        <v>664</v>
      </c>
      <c r="W930" t="s">
        <v>668</v>
      </c>
      <c r="X930" t="s">
        <v>224</v>
      </c>
    </row>
    <row r="931" spans="1:24">
      <c r="A931">
        <v>13529</v>
      </c>
      <c r="B931" t="s">
        <v>25</v>
      </c>
      <c r="C931" t="str">
        <f t="shared" si="29"/>
        <v>INTEGRA Saloon</v>
      </c>
      <c r="D931" t="str">
        <f t="shared" si="28"/>
        <v>1.6</v>
      </c>
      <c r="E931" t="s">
        <v>26</v>
      </c>
      <c r="F931">
        <v>198501</v>
      </c>
      <c r="G931">
        <v>199012</v>
      </c>
      <c r="H931">
        <v>74</v>
      </c>
      <c r="I931">
        <v>100</v>
      </c>
      <c r="J931">
        <v>1590</v>
      </c>
      <c r="K931">
        <v>1821785</v>
      </c>
      <c r="L931" t="s">
        <v>228</v>
      </c>
      <c r="M931" t="str">
        <f>"FSL472"</f>
        <v>FSL472</v>
      </c>
      <c r="N931" t="str">
        <f>"FSL472"</f>
        <v>FSL472</v>
      </c>
      <c r="O931" t="str">
        <f>"21312"</f>
        <v>21312</v>
      </c>
      <c r="P931" t="s">
        <v>664</v>
      </c>
      <c r="Q931" t="str">
        <f>"4044197300501"</f>
        <v>4044197300501</v>
      </c>
      <c r="R931" t="s">
        <v>740</v>
      </c>
      <c r="T931" s="1" t="s">
        <v>741</v>
      </c>
      <c r="U931">
        <v>402</v>
      </c>
      <c r="V931" t="s">
        <v>664</v>
      </c>
      <c r="W931" t="s">
        <v>668</v>
      </c>
      <c r="X931" t="s">
        <v>224</v>
      </c>
    </row>
    <row r="932" spans="1:24">
      <c r="A932">
        <v>13529</v>
      </c>
      <c r="B932" t="s">
        <v>25</v>
      </c>
      <c r="C932" t="str">
        <f t="shared" si="29"/>
        <v>INTEGRA Saloon</v>
      </c>
      <c r="D932" t="str">
        <f t="shared" si="28"/>
        <v>1.6</v>
      </c>
      <c r="E932" t="s">
        <v>26</v>
      </c>
      <c r="F932">
        <v>198501</v>
      </c>
      <c r="G932">
        <v>199012</v>
      </c>
      <c r="H932">
        <v>74</v>
      </c>
      <c r="I932">
        <v>100</v>
      </c>
      <c r="J932">
        <v>1590</v>
      </c>
      <c r="K932">
        <v>1894566</v>
      </c>
      <c r="L932" t="s">
        <v>231</v>
      </c>
      <c r="M932" t="str">
        <f>"P28010"</f>
        <v>P28010</v>
      </c>
      <c r="N932" t="str">
        <f>"P 28 010"</f>
        <v>P 28 010</v>
      </c>
      <c r="O932" t="str">
        <f>"20099"</f>
        <v>20099</v>
      </c>
      <c r="P932" t="s">
        <v>664</v>
      </c>
      <c r="Q932" t="str">
        <f>"8020584052440"</f>
        <v>8020584052440</v>
      </c>
      <c r="R932" t="s">
        <v>742</v>
      </c>
      <c r="S932" t="s">
        <v>310</v>
      </c>
      <c r="T932" s="1" t="s">
        <v>743</v>
      </c>
      <c r="U932">
        <v>402</v>
      </c>
      <c r="V932" t="s">
        <v>664</v>
      </c>
      <c r="W932" t="s">
        <v>668</v>
      </c>
      <c r="X932" t="s">
        <v>224</v>
      </c>
    </row>
    <row r="933" spans="1:24">
      <c r="A933">
        <v>13529</v>
      </c>
      <c r="B933" t="s">
        <v>25</v>
      </c>
      <c r="C933" t="str">
        <f t="shared" si="29"/>
        <v>INTEGRA Saloon</v>
      </c>
      <c r="D933" t="str">
        <f t="shared" si="28"/>
        <v>1.6</v>
      </c>
      <c r="E933" t="s">
        <v>26</v>
      </c>
      <c r="F933">
        <v>198501</v>
      </c>
      <c r="G933">
        <v>199012</v>
      </c>
      <c r="H933">
        <v>74</v>
      </c>
      <c r="I933">
        <v>100</v>
      </c>
      <c r="J933">
        <v>1590</v>
      </c>
      <c r="K933">
        <v>1894571</v>
      </c>
      <c r="L933" t="s">
        <v>231</v>
      </c>
      <c r="M933" t="str">
        <f>"P28017"</f>
        <v>P28017</v>
      </c>
      <c r="N933" t="str">
        <f>"P 28 017"</f>
        <v>P 28 017</v>
      </c>
      <c r="O933" t="str">
        <f>"21312"</f>
        <v>21312</v>
      </c>
      <c r="P933" t="s">
        <v>664</v>
      </c>
      <c r="Q933" t="str">
        <f>"8020584052518"</f>
        <v>8020584052518</v>
      </c>
      <c r="R933" t="s">
        <v>744</v>
      </c>
      <c r="S933" t="s">
        <v>221</v>
      </c>
      <c r="T933" s="1" t="s">
        <v>745</v>
      </c>
      <c r="U933">
        <v>402</v>
      </c>
      <c r="V933" t="s">
        <v>664</v>
      </c>
      <c r="W933" t="s">
        <v>668</v>
      </c>
      <c r="X933" t="s">
        <v>224</v>
      </c>
    </row>
    <row r="934" spans="1:24">
      <c r="A934">
        <v>13529</v>
      </c>
      <c r="B934" t="s">
        <v>25</v>
      </c>
      <c r="C934" t="str">
        <f t="shared" si="29"/>
        <v>INTEGRA Saloon</v>
      </c>
      <c r="D934" t="str">
        <f t="shared" si="28"/>
        <v>1.6</v>
      </c>
      <c r="E934" t="s">
        <v>26</v>
      </c>
      <c r="F934">
        <v>198501</v>
      </c>
      <c r="G934">
        <v>199012</v>
      </c>
      <c r="H934">
        <v>74</v>
      </c>
      <c r="I934">
        <v>100</v>
      </c>
      <c r="J934">
        <v>1590</v>
      </c>
      <c r="K934">
        <v>1919786</v>
      </c>
      <c r="L934" t="s">
        <v>746</v>
      </c>
      <c r="M934" t="str">
        <f>"MDB1344"</f>
        <v>MDB1344</v>
      </c>
      <c r="N934" t="str">
        <f>"MDB1344"</f>
        <v>MDB1344</v>
      </c>
      <c r="O934" t="str">
        <f>"20099"</f>
        <v>20099</v>
      </c>
      <c r="P934" t="s">
        <v>664</v>
      </c>
      <c r="Q934" t="str">
        <f>"5028740002486"</f>
        <v>5028740002486</v>
      </c>
      <c r="R934" t="s">
        <v>747</v>
      </c>
      <c r="S934" t="s">
        <v>310</v>
      </c>
      <c r="T934" s="1" t="s">
        <v>748</v>
      </c>
      <c r="U934">
        <v>402</v>
      </c>
      <c r="V934" t="s">
        <v>664</v>
      </c>
      <c r="W934" t="s">
        <v>668</v>
      </c>
      <c r="X934" t="s">
        <v>224</v>
      </c>
    </row>
    <row r="935" spans="1:24">
      <c r="A935">
        <v>13529</v>
      </c>
      <c r="B935" t="s">
        <v>25</v>
      </c>
      <c r="C935" t="str">
        <f t="shared" si="29"/>
        <v>INTEGRA Saloon</v>
      </c>
      <c r="D935" t="str">
        <f t="shared" si="28"/>
        <v>1.6</v>
      </c>
      <c r="E935" t="s">
        <v>26</v>
      </c>
      <c r="F935">
        <v>198501</v>
      </c>
      <c r="G935">
        <v>199012</v>
      </c>
      <c r="H935">
        <v>74</v>
      </c>
      <c r="I935">
        <v>100</v>
      </c>
      <c r="J935">
        <v>1590</v>
      </c>
      <c r="K935">
        <v>1919799</v>
      </c>
      <c r="L935" t="s">
        <v>746</v>
      </c>
      <c r="M935" t="str">
        <f>"MDB1360"</f>
        <v>MDB1360</v>
      </c>
      <c r="N935" t="str">
        <f>"MDB1360"</f>
        <v>MDB1360</v>
      </c>
      <c r="O935" t="str">
        <f>"21312"</f>
        <v>21312</v>
      </c>
      <c r="P935" t="s">
        <v>664</v>
      </c>
      <c r="Q935" t="str">
        <f>"5028740002639"</f>
        <v>5028740002639</v>
      </c>
      <c r="R935" t="s">
        <v>749</v>
      </c>
      <c r="S935" t="s">
        <v>221</v>
      </c>
      <c r="T935" s="1" t="s">
        <v>750</v>
      </c>
      <c r="U935">
        <v>402</v>
      </c>
      <c r="V935" t="s">
        <v>664</v>
      </c>
      <c r="W935" t="s">
        <v>668</v>
      </c>
      <c r="X935" t="s">
        <v>224</v>
      </c>
    </row>
    <row r="936" spans="1:24">
      <c r="A936">
        <v>13529</v>
      </c>
      <c r="B936" t="s">
        <v>25</v>
      </c>
      <c r="C936" t="str">
        <f t="shared" si="29"/>
        <v>INTEGRA Saloon</v>
      </c>
      <c r="D936" t="str">
        <f t="shared" si="28"/>
        <v>1.6</v>
      </c>
      <c r="E936" t="s">
        <v>26</v>
      </c>
      <c r="F936">
        <v>198501</v>
      </c>
      <c r="G936">
        <v>199012</v>
      </c>
      <c r="H936">
        <v>74</v>
      </c>
      <c r="I936">
        <v>100</v>
      </c>
      <c r="J936">
        <v>1590</v>
      </c>
      <c r="K936">
        <v>1919830</v>
      </c>
      <c r="L936" t="s">
        <v>746</v>
      </c>
      <c r="M936" t="str">
        <f>"MDB1411"</f>
        <v>MDB1411</v>
      </c>
      <c r="N936" t="str">
        <f>"MDB1411"</f>
        <v>MDB1411</v>
      </c>
      <c r="O936" t="str">
        <f>"21312"</f>
        <v>21312</v>
      </c>
      <c r="P936" t="s">
        <v>664</v>
      </c>
      <c r="Q936" t="str">
        <f>"5028740003063"</f>
        <v>5028740003063</v>
      </c>
      <c r="R936" t="s">
        <v>751</v>
      </c>
      <c r="S936" t="s">
        <v>221</v>
      </c>
      <c r="T936" s="1" t="s">
        <v>752</v>
      </c>
      <c r="U936">
        <v>402</v>
      </c>
      <c r="V936" t="s">
        <v>664</v>
      </c>
      <c r="W936" t="s">
        <v>668</v>
      </c>
      <c r="X936" t="s">
        <v>224</v>
      </c>
    </row>
    <row r="937" spans="1:24">
      <c r="A937">
        <v>13529</v>
      </c>
      <c r="B937" t="s">
        <v>25</v>
      </c>
      <c r="C937" t="str">
        <f t="shared" si="29"/>
        <v>INTEGRA Saloon</v>
      </c>
      <c r="D937" t="str">
        <f t="shared" si="28"/>
        <v>1.6</v>
      </c>
      <c r="E937" t="s">
        <v>26</v>
      </c>
      <c r="F937">
        <v>198501</v>
      </c>
      <c r="G937">
        <v>199012</v>
      </c>
      <c r="H937">
        <v>74</v>
      </c>
      <c r="I937">
        <v>100</v>
      </c>
      <c r="J937">
        <v>1590</v>
      </c>
      <c r="K937">
        <v>2053896</v>
      </c>
      <c r="L937" t="s">
        <v>753</v>
      </c>
      <c r="M937" t="str">
        <f>"023302"</f>
        <v>023302</v>
      </c>
      <c r="N937" t="str">
        <f>"0233.02"</f>
        <v>0233.02</v>
      </c>
      <c r="O937" t="str">
        <f>"21312"</f>
        <v>21312</v>
      </c>
      <c r="P937" t="s">
        <v>664</v>
      </c>
      <c r="Q937" t="str">
        <f>"8427975005731"</f>
        <v>8427975005731</v>
      </c>
      <c r="R937" s="1" t="s">
        <v>754</v>
      </c>
      <c r="T937" s="1" t="s">
        <v>755</v>
      </c>
      <c r="U937">
        <v>402</v>
      </c>
      <c r="V937" t="s">
        <v>664</v>
      </c>
      <c r="W937" t="s">
        <v>668</v>
      </c>
      <c r="X937" t="s">
        <v>224</v>
      </c>
    </row>
    <row r="938" spans="1:24">
      <c r="A938">
        <v>13529</v>
      </c>
      <c r="B938" t="s">
        <v>25</v>
      </c>
      <c r="C938" t="str">
        <f t="shared" si="29"/>
        <v>INTEGRA Saloon</v>
      </c>
      <c r="D938" t="str">
        <f t="shared" ref="D938:D1001" si="30">"1.6"</f>
        <v>1.6</v>
      </c>
      <c r="E938" t="s">
        <v>26</v>
      </c>
      <c r="F938">
        <v>198501</v>
      </c>
      <c r="G938">
        <v>199012</v>
      </c>
      <c r="H938">
        <v>74</v>
      </c>
      <c r="I938">
        <v>100</v>
      </c>
      <c r="J938">
        <v>1590</v>
      </c>
      <c r="K938">
        <v>2060438</v>
      </c>
      <c r="L938" t="s">
        <v>753</v>
      </c>
      <c r="M938" t="str">
        <f>"1170251"</f>
        <v>1170251</v>
      </c>
      <c r="N938" t="str">
        <f>"1170251"</f>
        <v>1170251</v>
      </c>
      <c r="O938" t="str">
        <f>"21312"</f>
        <v>21312</v>
      </c>
      <c r="P938" t="s">
        <v>664</v>
      </c>
      <c r="Q938" t="str">
        <f>"4250032669416"</f>
        <v>4250032669416</v>
      </c>
      <c r="R938" t="s">
        <v>756</v>
      </c>
      <c r="T938" s="1" t="s">
        <v>755</v>
      </c>
      <c r="U938">
        <v>402</v>
      </c>
      <c r="V938" t="s">
        <v>664</v>
      </c>
      <c r="W938" t="s">
        <v>668</v>
      </c>
      <c r="X938" t="s">
        <v>224</v>
      </c>
    </row>
    <row r="939" spans="1:24">
      <c r="A939">
        <v>13529</v>
      </c>
      <c r="B939" t="s">
        <v>25</v>
      </c>
      <c r="C939" t="str">
        <f t="shared" si="29"/>
        <v>INTEGRA Saloon</v>
      </c>
      <c r="D939" t="str">
        <f t="shared" si="30"/>
        <v>1.6</v>
      </c>
      <c r="E939" t="s">
        <v>26</v>
      </c>
      <c r="F939">
        <v>198501</v>
      </c>
      <c r="G939">
        <v>199012</v>
      </c>
      <c r="H939">
        <v>74</v>
      </c>
      <c r="I939">
        <v>100</v>
      </c>
      <c r="J939">
        <v>1590</v>
      </c>
      <c r="K939">
        <v>2113897</v>
      </c>
      <c r="L939" t="s">
        <v>95</v>
      </c>
      <c r="M939" t="str">
        <f>"363700200034"</f>
        <v>363700200034</v>
      </c>
      <c r="N939" t="str">
        <f>"363700200034"</f>
        <v>363700200034</v>
      </c>
      <c r="O939" t="str">
        <f>"T0034MM"</f>
        <v>T0034MM</v>
      </c>
      <c r="P939" t="s">
        <v>664</v>
      </c>
      <c r="Q939" t="str">
        <f>"8001063554853"</f>
        <v>8001063554853</v>
      </c>
      <c r="R939" t="s">
        <v>757</v>
      </c>
      <c r="S939" t="s">
        <v>221</v>
      </c>
      <c r="T939" s="1" t="s">
        <v>758</v>
      </c>
      <c r="U939">
        <v>402</v>
      </c>
      <c r="V939" t="s">
        <v>664</v>
      </c>
      <c r="W939" t="s">
        <v>668</v>
      </c>
      <c r="X939" t="s">
        <v>224</v>
      </c>
    </row>
    <row r="940" spans="1:24">
      <c r="A940">
        <v>13529</v>
      </c>
      <c r="B940" t="s">
        <v>25</v>
      </c>
      <c r="C940" t="str">
        <f t="shared" si="29"/>
        <v>INTEGRA Saloon</v>
      </c>
      <c r="D940" t="str">
        <f t="shared" si="30"/>
        <v>1.6</v>
      </c>
      <c r="E940" t="s">
        <v>26</v>
      </c>
      <c r="F940">
        <v>198501</v>
      </c>
      <c r="G940">
        <v>199012</v>
      </c>
      <c r="H940">
        <v>74</v>
      </c>
      <c r="I940">
        <v>100</v>
      </c>
      <c r="J940">
        <v>1590</v>
      </c>
      <c r="K940">
        <v>2117469</v>
      </c>
      <c r="L940" t="s">
        <v>95</v>
      </c>
      <c r="M940" t="str">
        <f>"363916060457"</f>
        <v>363916060457</v>
      </c>
      <c r="N940" t="str">
        <f>"363916060457"</f>
        <v>363916060457</v>
      </c>
      <c r="O940" t="str">
        <f>"PF0457"</f>
        <v>PF0457</v>
      </c>
      <c r="P940" t="s">
        <v>664</v>
      </c>
      <c r="Q940" t="str">
        <f>"8001063679624"</f>
        <v>8001063679624</v>
      </c>
      <c r="R940" t="s">
        <v>759</v>
      </c>
      <c r="S940" t="s">
        <v>221</v>
      </c>
      <c r="T940" s="1" t="s">
        <v>760</v>
      </c>
      <c r="U940">
        <v>402</v>
      </c>
      <c r="V940" t="s">
        <v>664</v>
      </c>
      <c r="W940" t="s">
        <v>668</v>
      </c>
      <c r="X940" t="s">
        <v>224</v>
      </c>
    </row>
    <row r="941" spans="1:24">
      <c r="A941">
        <v>13529</v>
      </c>
      <c r="B941" t="s">
        <v>25</v>
      </c>
      <c r="C941" t="str">
        <f t="shared" si="29"/>
        <v>INTEGRA Saloon</v>
      </c>
      <c r="D941" t="str">
        <f t="shared" si="30"/>
        <v>1.6</v>
      </c>
      <c r="E941" t="s">
        <v>26</v>
      </c>
      <c r="F941">
        <v>198501</v>
      </c>
      <c r="G941">
        <v>199012</v>
      </c>
      <c r="H941">
        <v>74</v>
      </c>
      <c r="I941">
        <v>100</v>
      </c>
      <c r="J941">
        <v>1590</v>
      </c>
      <c r="K941">
        <v>2203625</v>
      </c>
      <c r="L941" t="s">
        <v>181</v>
      </c>
      <c r="M941" t="str">
        <f>"811021004"</f>
        <v>811021004</v>
      </c>
      <c r="N941" t="str">
        <f>"8110 21004"</f>
        <v>8110 21004</v>
      </c>
      <c r="O941" t="str">
        <f>""</f>
        <v/>
      </c>
      <c r="P941" t="s">
        <v>664</v>
      </c>
      <c r="Q941" t="str">
        <f>"5709147852552"</f>
        <v>5709147852552</v>
      </c>
      <c r="R941" t="s">
        <v>761</v>
      </c>
      <c r="S941" t="s">
        <v>221</v>
      </c>
      <c r="T941" s="1" t="s">
        <v>762</v>
      </c>
      <c r="U941">
        <v>402</v>
      </c>
      <c r="V941" t="s">
        <v>664</v>
      </c>
      <c r="W941" t="s">
        <v>668</v>
      </c>
      <c r="X941" t="s">
        <v>224</v>
      </c>
    </row>
    <row r="942" spans="1:24">
      <c r="A942">
        <v>13529</v>
      </c>
      <c r="B942" t="s">
        <v>25</v>
      </c>
      <c r="C942" t="str">
        <f t="shared" si="29"/>
        <v>INTEGRA Saloon</v>
      </c>
      <c r="D942" t="str">
        <f t="shared" si="30"/>
        <v>1.6</v>
      </c>
      <c r="E942" t="s">
        <v>26</v>
      </c>
      <c r="F942">
        <v>198501</v>
      </c>
      <c r="G942">
        <v>199012</v>
      </c>
      <c r="H942">
        <v>74</v>
      </c>
      <c r="I942">
        <v>100</v>
      </c>
      <c r="J942">
        <v>1590</v>
      </c>
      <c r="K942">
        <v>2204057</v>
      </c>
      <c r="L942" t="s">
        <v>181</v>
      </c>
      <c r="M942" t="str">
        <f>"811040853"</f>
        <v>811040853</v>
      </c>
      <c r="N942" t="str">
        <f>"8110 40853"</f>
        <v>8110 40853</v>
      </c>
      <c r="O942" t="str">
        <f>""</f>
        <v/>
      </c>
      <c r="P942" t="s">
        <v>664</v>
      </c>
      <c r="Q942" t="str">
        <f>""</f>
        <v/>
      </c>
      <c r="S942" t="s">
        <v>310</v>
      </c>
      <c r="U942">
        <v>402</v>
      </c>
      <c r="V942" t="s">
        <v>664</v>
      </c>
      <c r="W942" t="s">
        <v>668</v>
      </c>
      <c r="X942" t="s">
        <v>224</v>
      </c>
    </row>
    <row r="943" spans="1:24">
      <c r="A943">
        <v>13529</v>
      </c>
      <c r="B943" t="s">
        <v>25</v>
      </c>
      <c r="C943" t="str">
        <f t="shared" si="29"/>
        <v>INTEGRA Saloon</v>
      </c>
      <c r="D943" t="str">
        <f t="shared" si="30"/>
        <v>1.6</v>
      </c>
      <c r="E943" t="s">
        <v>26</v>
      </c>
      <c r="F943">
        <v>198501</v>
      </c>
      <c r="G943">
        <v>199012</v>
      </c>
      <c r="H943">
        <v>74</v>
      </c>
      <c r="I943">
        <v>100</v>
      </c>
      <c r="J943">
        <v>1590</v>
      </c>
      <c r="K943">
        <v>2204065</v>
      </c>
      <c r="L943" t="s">
        <v>181</v>
      </c>
      <c r="M943" t="str">
        <f>"811040978"</f>
        <v>811040978</v>
      </c>
      <c r="N943" t="str">
        <f>"8110 40978"</f>
        <v>8110 40978</v>
      </c>
      <c r="O943" t="str">
        <f>""</f>
        <v/>
      </c>
      <c r="P943" t="s">
        <v>664</v>
      </c>
      <c r="Q943" t="str">
        <f>"5709147321362"</f>
        <v>5709147321362</v>
      </c>
      <c r="R943" t="s">
        <v>763</v>
      </c>
      <c r="S943" t="s">
        <v>221</v>
      </c>
      <c r="T943" s="1" t="s">
        <v>764</v>
      </c>
      <c r="U943">
        <v>402</v>
      </c>
      <c r="V943" t="s">
        <v>664</v>
      </c>
      <c r="W943" t="s">
        <v>668</v>
      </c>
      <c r="X943" t="s">
        <v>224</v>
      </c>
    </row>
    <row r="944" spans="1:24">
      <c r="A944">
        <v>13529</v>
      </c>
      <c r="B944" t="s">
        <v>25</v>
      </c>
      <c r="C944" t="str">
        <f t="shared" si="29"/>
        <v>INTEGRA Saloon</v>
      </c>
      <c r="D944" t="str">
        <f t="shared" si="30"/>
        <v>1.6</v>
      </c>
      <c r="E944" t="s">
        <v>26</v>
      </c>
      <c r="F944">
        <v>198501</v>
      </c>
      <c r="G944">
        <v>199012</v>
      </c>
      <c r="H944">
        <v>74</v>
      </c>
      <c r="I944">
        <v>100</v>
      </c>
      <c r="J944">
        <v>1590</v>
      </c>
      <c r="K944">
        <v>2309163</v>
      </c>
      <c r="L944" t="s">
        <v>234</v>
      </c>
      <c r="M944" t="str">
        <f>"2201701"</f>
        <v>2201701</v>
      </c>
      <c r="N944" t="str">
        <f>"22-0170-1"</f>
        <v>22-0170-1</v>
      </c>
      <c r="O944" t="str">
        <f>""</f>
        <v/>
      </c>
      <c r="P944" t="s">
        <v>664</v>
      </c>
      <c r="Q944" t="str">
        <f>""</f>
        <v/>
      </c>
      <c r="R944" t="s">
        <v>674</v>
      </c>
      <c r="S944" t="s">
        <v>675</v>
      </c>
      <c r="T944" s="1" t="s">
        <v>765</v>
      </c>
      <c r="U944">
        <v>402</v>
      </c>
      <c r="V944" t="s">
        <v>664</v>
      </c>
      <c r="W944" t="s">
        <v>668</v>
      </c>
      <c r="X944" t="s">
        <v>224</v>
      </c>
    </row>
    <row r="945" spans="1:24">
      <c r="A945">
        <v>13529</v>
      </c>
      <c r="B945" t="s">
        <v>25</v>
      </c>
      <c r="C945" t="str">
        <f t="shared" si="29"/>
        <v>INTEGRA Saloon</v>
      </c>
      <c r="D945" t="str">
        <f t="shared" si="30"/>
        <v>1.6</v>
      </c>
      <c r="E945" t="s">
        <v>26</v>
      </c>
      <c r="F945">
        <v>198501</v>
      </c>
      <c r="G945">
        <v>199012</v>
      </c>
      <c r="H945">
        <v>74</v>
      </c>
      <c r="I945">
        <v>100</v>
      </c>
      <c r="J945">
        <v>1590</v>
      </c>
      <c r="K945">
        <v>2309164</v>
      </c>
      <c r="L945" t="s">
        <v>234</v>
      </c>
      <c r="M945" t="str">
        <f>"2201710"</f>
        <v>2201710</v>
      </c>
      <c r="N945" t="str">
        <f>"22-0171-0"</f>
        <v>22-0171-0</v>
      </c>
      <c r="O945" t="str">
        <f>""</f>
        <v/>
      </c>
      <c r="P945" t="s">
        <v>664</v>
      </c>
      <c r="Q945" t="str">
        <f>""</f>
        <v/>
      </c>
      <c r="R945" t="s">
        <v>677</v>
      </c>
      <c r="S945" t="s">
        <v>678</v>
      </c>
      <c r="T945" s="1" t="s">
        <v>766</v>
      </c>
      <c r="U945">
        <v>402</v>
      </c>
      <c r="V945" t="s">
        <v>664</v>
      </c>
      <c r="W945" t="s">
        <v>668</v>
      </c>
      <c r="X945" t="s">
        <v>224</v>
      </c>
    </row>
    <row r="946" spans="1:24">
      <c r="A946">
        <v>13529</v>
      </c>
      <c r="B946" t="s">
        <v>25</v>
      </c>
      <c r="C946" t="str">
        <f t="shared" si="29"/>
        <v>INTEGRA Saloon</v>
      </c>
      <c r="D946" t="str">
        <f t="shared" si="30"/>
        <v>1.6</v>
      </c>
      <c r="E946" t="s">
        <v>26</v>
      </c>
      <c r="F946">
        <v>198501</v>
      </c>
      <c r="G946">
        <v>199012</v>
      </c>
      <c r="H946">
        <v>74</v>
      </c>
      <c r="I946">
        <v>100</v>
      </c>
      <c r="J946">
        <v>1590</v>
      </c>
      <c r="K946">
        <v>2309289</v>
      </c>
      <c r="L946" t="s">
        <v>234</v>
      </c>
      <c r="M946" t="str">
        <f>"2202371"</f>
        <v>2202371</v>
      </c>
      <c r="N946" t="str">
        <f>"22-0237-1"</f>
        <v>22-0237-1</v>
      </c>
      <c r="O946" t="str">
        <f>""</f>
        <v/>
      </c>
      <c r="P946" t="s">
        <v>664</v>
      </c>
      <c r="Q946" t="str">
        <f>""</f>
        <v/>
      </c>
      <c r="R946" t="s">
        <v>680</v>
      </c>
      <c r="S946" t="s">
        <v>681</v>
      </c>
      <c r="T946" s="1" t="s">
        <v>767</v>
      </c>
      <c r="U946">
        <v>402</v>
      </c>
      <c r="V946" t="s">
        <v>664</v>
      </c>
      <c r="W946" t="s">
        <v>668</v>
      </c>
      <c r="X946" t="s">
        <v>224</v>
      </c>
    </row>
    <row r="947" spans="1:24">
      <c r="A947">
        <v>13529</v>
      </c>
      <c r="B947" t="s">
        <v>25</v>
      </c>
      <c r="C947" t="str">
        <f t="shared" si="29"/>
        <v>INTEGRA Saloon</v>
      </c>
      <c r="D947" t="str">
        <f t="shared" si="30"/>
        <v>1.6</v>
      </c>
      <c r="E947" t="s">
        <v>26</v>
      </c>
      <c r="F947">
        <v>198501</v>
      </c>
      <c r="G947">
        <v>199012</v>
      </c>
      <c r="H947">
        <v>74</v>
      </c>
      <c r="I947">
        <v>100</v>
      </c>
      <c r="J947">
        <v>1590</v>
      </c>
      <c r="K947">
        <v>2351958</v>
      </c>
      <c r="L947" t="s">
        <v>364</v>
      </c>
      <c r="M947" t="str">
        <f>"9457"</f>
        <v>9457</v>
      </c>
      <c r="N947" t="str">
        <f>"9457"</f>
        <v>9457</v>
      </c>
      <c r="O947" t="str">
        <f>"20099"</f>
        <v>20099</v>
      </c>
      <c r="P947" t="s">
        <v>664</v>
      </c>
      <c r="Q947" t="str">
        <f>"4031185142014"</f>
        <v>4031185142014</v>
      </c>
      <c r="R947" t="s">
        <v>768</v>
      </c>
      <c r="T947" s="1" t="s">
        <v>769</v>
      </c>
      <c r="U947">
        <v>402</v>
      </c>
      <c r="V947" t="s">
        <v>664</v>
      </c>
      <c r="W947" t="s">
        <v>668</v>
      </c>
      <c r="X947" t="s">
        <v>224</v>
      </c>
    </row>
    <row r="948" spans="1:24">
      <c r="A948">
        <v>13529</v>
      </c>
      <c r="B948" t="s">
        <v>25</v>
      </c>
      <c r="C948" t="str">
        <f t="shared" si="29"/>
        <v>INTEGRA Saloon</v>
      </c>
      <c r="D948" t="str">
        <f t="shared" si="30"/>
        <v>1.6</v>
      </c>
      <c r="E948" t="s">
        <v>26</v>
      </c>
      <c r="F948">
        <v>198501</v>
      </c>
      <c r="G948">
        <v>199012</v>
      </c>
      <c r="H948">
        <v>74</v>
      </c>
      <c r="I948">
        <v>100</v>
      </c>
      <c r="J948">
        <v>1590</v>
      </c>
      <c r="K948">
        <v>2352280</v>
      </c>
      <c r="L948" t="s">
        <v>364</v>
      </c>
      <c r="M948" t="str">
        <f>"9652"</f>
        <v>9652</v>
      </c>
      <c r="N948" t="str">
        <f>"9652"</f>
        <v>9652</v>
      </c>
      <c r="O948" t="str">
        <f>""</f>
        <v/>
      </c>
      <c r="P948" t="s">
        <v>664</v>
      </c>
      <c r="Q948" t="str">
        <f>"4031185140560"</f>
        <v>4031185140560</v>
      </c>
      <c r="R948" t="s">
        <v>770</v>
      </c>
      <c r="T948" s="1" t="s">
        <v>771</v>
      </c>
      <c r="U948">
        <v>402</v>
      </c>
      <c r="V948" t="s">
        <v>664</v>
      </c>
      <c r="W948" t="s">
        <v>668</v>
      </c>
      <c r="X948" t="s">
        <v>224</v>
      </c>
    </row>
    <row r="949" spans="1:24">
      <c r="A949">
        <v>13529</v>
      </c>
      <c r="B949" t="s">
        <v>25</v>
      </c>
      <c r="C949" t="str">
        <f t="shared" si="29"/>
        <v>INTEGRA Saloon</v>
      </c>
      <c r="D949" t="str">
        <f t="shared" si="30"/>
        <v>1.6</v>
      </c>
      <c r="E949" t="s">
        <v>26</v>
      </c>
      <c r="F949">
        <v>198501</v>
      </c>
      <c r="G949">
        <v>199012</v>
      </c>
      <c r="H949">
        <v>74</v>
      </c>
      <c r="I949">
        <v>100</v>
      </c>
      <c r="J949">
        <v>1590</v>
      </c>
      <c r="K949">
        <v>2352295</v>
      </c>
      <c r="L949" t="s">
        <v>364</v>
      </c>
      <c r="M949" t="str">
        <f>"9672"</f>
        <v>9672</v>
      </c>
      <c r="N949" t="str">
        <f>"9672"</f>
        <v>9672</v>
      </c>
      <c r="O949" t="str">
        <f>""</f>
        <v/>
      </c>
      <c r="P949" t="s">
        <v>664</v>
      </c>
      <c r="Q949" t="str">
        <f>"4031185142106"</f>
        <v>4031185142106</v>
      </c>
      <c r="R949" t="s">
        <v>772</v>
      </c>
      <c r="T949" s="1" t="s">
        <v>773</v>
      </c>
      <c r="U949">
        <v>402</v>
      </c>
      <c r="V949" t="s">
        <v>664</v>
      </c>
      <c r="W949" t="s">
        <v>668</v>
      </c>
      <c r="X949" t="s">
        <v>224</v>
      </c>
    </row>
    <row r="950" spans="1:24">
      <c r="A950">
        <v>13529</v>
      </c>
      <c r="B950" t="s">
        <v>25</v>
      </c>
      <c r="C950" t="str">
        <f t="shared" si="29"/>
        <v>INTEGRA Saloon</v>
      </c>
      <c r="D950" t="str">
        <f t="shared" si="30"/>
        <v>1.6</v>
      </c>
      <c r="E950" t="s">
        <v>26</v>
      </c>
      <c r="F950">
        <v>198501</v>
      </c>
      <c r="G950">
        <v>199012</v>
      </c>
      <c r="H950">
        <v>74</v>
      </c>
      <c r="I950">
        <v>100</v>
      </c>
      <c r="J950">
        <v>1590</v>
      </c>
      <c r="K950">
        <v>2545953</v>
      </c>
      <c r="L950" t="s">
        <v>371</v>
      </c>
      <c r="M950" t="str">
        <f>"222802"</f>
        <v>222802</v>
      </c>
      <c r="N950" t="str">
        <f>"2228.02"</f>
        <v>2228.02</v>
      </c>
      <c r="O950" t="str">
        <f>"PSX222802"</f>
        <v>PSX222802</v>
      </c>
      <c r="P950" t="s">
        <v>664</v>
      </c>
      <c r="Q950" t="str">
        <f>"8427975255747"</f>
        <v>8427975255747</v>
      </c>
      <c r="R950" t="s">
        <v>774</v>
      </c>
      <c r="T950" s="1" t="s">
        <v>775</v>
      </c>
      <c r="U950">
        <v>402</v>
      </c>
      <c r="V950" t="s">
        <v>664</v>
      </c>
      <c r="W950" t="s">
        <v>668</v>
      </c>
      <c r="X950" t="s">
        <v>224</v>
      </c>
    </row>
    <row r="951" spans="1:24">
      <c r="A951">
        <v>13529</v>
      </c>
      <c r="B951" t="s">
        <v>25</v>
      </c>
      <c r="C951" t="str">
        <f t="shared" si="29"/>
        <v>INTEGRA Saloon</v>
      </c>
      <c r="D951" t="str">
        <f t="shared" si="30"/>
        <v>1.6</v>
      </c>
      <c r="E951" t="s">
        <v>26</v>
      </c>
      <c r="F951">
        <v>198501</v>
      </c>
      <c r="G951">
        <v>199012</v>
      </c>
      <c r="H951">
        <v>74</v>
      </c>
      <c r="I951">
        <v>100</v>
      </c>
      <c r="J951">
        <v>1590</v>
      </c>
      <c r="K951">
        <v>2545961</v>
      </c>
      <c r="L951" t="s">
        <v>371</v>
      </c>
      <c r="M951" t="str">
        <f>"223320"</f>
        <v>223320</v>
      </c>
      <c r="N951" t="str">
        <f>"2233.20"</f>
        <v>2233.20</v>
      </c>
      <c r="O951" t="str">
        <f>"PSX223320"</f>
        <v>PSX223320</v>
      </c>
      <c r="P951" t="s">
        <v>664</v>
      </c>
      <c r="Q951" t="str">
        <f>"8427975255839"</f>
        <v>8427975255839</v>
      </c>
      <c r="R951" s="1" t="s">
        <v>776</v>
      </c>
      <c r="T951" s="1" t="s">
        <v>777</v>
      </c>
      <c r="U951">
        <v>402</v>
      </c>
      <c r="V951" t="s">
        <v>664</v>
      </c>
      <c r="W951" t="s">
        <v>668</v>
      </c>
      <c r="X951" t="s">
        <v>224</v>
      </c>
    </row>
    <row r="952" spans="1:24">
      <c r="A952">
        <v>13529</v>
      </c>
      <c r="B952" t="s">
        <v>25</v>
      </c>
      <c r="C952" t="str">
        <f t="shared" si="29"/>
        <v>INTEGRA Saloon</v>
      </c>
      <c r="D952" t="str">
        <f t="shared" si="30"/>
        <v>1.6</v>
      </c>
      <c r="E952" t="s">
        <v>26</v>
      </c>
      <c r="F952">
        <v>198501</v>
      </c>
      <c r="G952">
        <v>199012</v>
      </c>
      <c r="H952">
        <v>74</v>
      </c>
      <c r="I952">
        <v>100</v>
      </c>
      <c r="J952">
        <v>1590</v>
      </c>
      <c r="K952">
        <v>2546562</v>
      </c>
      <c r="L952" t="s">
        <v>371</v>
      </c>
      <c r="M952" t="str">
        <f>"264610"</f>
        <v>264610</v>
      </c>
      <c r="N952" t="str">
        <f>"2646.10"</f>
        <v>2646.10</v>
      </c>
      <c r="O952" t="str">
        <f>"PSX264610"</f>
        <v>PSX264610</v>
      </c>
      <c r="P952" t="s">
        <v>664</v>
      </c>
      <c r="Q952" t="str">
        <f>"8427975262202"</f>
        <v>8427975262202</v>
      </c>
      <c r="R952" s="1" t="s">
        <v>778</v>
      </c>
      <c r="T952" s="1" t="s">
        <v>779</v>
      </c>
      <c r="U952">
        <v>402</v>
      </c>
      <c r="V952" t="s">
        <v>664</v>
      </c>
      <c r="W952" t="s">
        <v>668</v>
      </c>
      <c r="X952" t="s">
        <v>224</v>
      </c>
    </row>
    <row r="953" spans="1:24">
      <c r="A953">
        <v>13529</v>
      </c>
      <c r="B953" t="s">
        <v>25</v>
      </c>
      <c r="C953" t="str">
        <f t="shared" si="29"/>
        <v>INTEGRA Saloon</v>
      </c>
      <c r="D953" t="str">
        <f t="shared" si="30"/>
        <v>1.6</v>
      </c>
      <c r="E953" t="s">
        <v>26</v>
      </c>
      <c r="F953">
        <v>198501</v>
      </c>
      <c r="G953">
        <v>199012</v>
      </c>
      <c r="H953">
        <v>74</v>
      </c>
      <c r="I953">
        <v>100</v>
      </c>
      <c r="J953">
        <v>1590</v>
      </c>
      <c r="K953">
        <v>2550450</v>
      </c>
      <c r="L953" t="s">
        <v>374</v>
      </c>
      <c r="M953" t="str">
        <f>"022802"</f>
        <v>022802</v>
      </c>
      <c r="N953" t="str">
        <f>"0228.02"</f>
        <v>0228.02</v>
      </c>
      <c r="O953" t="str">
        <f>"PCA022802"</f>
        <v>PCA022802</v>
      </c>
      <c r="P953" t="s">
        <v>664</v>
      </c>
      <c r="Q953" t="str">
        <f>"8427975005663"</f>
        <v>8427975005663</v>
      </c>
      <c r="R953" t="s">
        <v>774</v>
      </c>
      <c r="T953" s="1" t="s">
        <v>780</v>
      </c>
      <c r="U953">
        <v>402</v>
      </c>
      <c r="V953" t="s">
        <v>664</v>
      </c>
      <c r="W953" t="s">
        <v>668</v>
      </c>
      <c r="X953" t="s">
        <v>224</v>
      </c>
    </row>
    <row r="954" spans="1:24">
      <c r="A954">
        <v>13529</v>
      </c>
      <c r="B954" t="s">
        <v>25</v>
      </c>
      <c r="C954" t="str">
        <f t="shared" si="29"/>
        <v>INTEGRA Saloon</v>
      </c>
      <c r="D954" t="str">
        <f t="shared" si="30"/>
        <v>1.6</v>
      </c>
      <c r="E954" t="s">
        <v>26</v>
      </c>
      <c r="F954">
        <v>198501</v>
      </c>
      <c r="G954">
        <v>199012</v>
      </c>
      <c r="H954">
        <v>74</v>
      </c>
      <c r="I954">
        <v>100</v>
      </c>
      <c r="J954">
        <v>1590</v>
      </c>
      <c r="K954">
        <v>2550458</v>
      </c>
      <c r="L954" t="s">
        <v>374</v>
      </c>
      <c r="M954" t="str">
        <f>"023320"</f>
        <v>023320</v>
      </c>
      <c r="N954" t="str">
        <f>"0233.20"</f>
        <v>0233.20</v>
      </c>
      <c r="O954" t="str">
        <f>"PCA023320"</f>
        <v>PCA023320</v>
      </c>
      <c r="P954" t="s">
        <v>664</v>
      </c>
      <c r="Q954" t="str">
        <f>"8427975005755"</f>
        <v>8427975005755</v>
      </c>
      <c r="R954" s="1" t="s">
        <v>776</v>
      </c>
      <c r="T954" s="1" t="s">
        <v>781</v>
      </c>
      <c r="U954">
        <v>402</v>
      </c>
      <c r="V954" t="s">
        <v>664</v>
      </c>
      <c r="W954" t="s">
        <v>668</v>
      </c>
      <c r="X954" t="s">
        <v>224</v>
      </c>
    </row>
    <row r="955" spans="1:24">
      <c r="A955">
        <v>13529</v>
      </c>
      <c r="B955" t="s">
        <v>25</v>
      </c>
      <c r="C955" t="str">
        <f t="shared" si="29"/>
        <v>INTEGRA Saloon</v>
      </c>
      <c r="D955" t="str">
        <f t="shared" si="30"/>
        <v>1.6</v>
      </c>
      <c r="E955" t="s">
        <v>26</v>
      </c>
      <c r="F955">
        <v>198501</v>
      </c>
      <c r="G955">
        <v>199012</v>
      </c>
      <c r="H955">
        <v>74</v>
      </c>
      <c r="I955">
        <v>100</v>
      </c>
      <c r="J955">
        <v>1590</v>
      </c>
      <c r="K955">
        <v>2551060</v>
      </c>
      <c r="L955" t="s">
        <v>374</v>
      </c>
      <c r="M955" t="str">
        <f>"064610"</f>
        <v>064610</v>
      </c>
      <c r="N955" t="str">
        <f>"0646.10"</f>
        <v>0646.10</v>
      </c>
      <c r="O955" t="str">
        <f>"PCA064610"</f>
        <v>PCA064610</v>
      </c>
      <c r="P955" t="s">
        <v>664</v>
      </c>
      <c r="Q955" t="str">
        <f>"8427975012210"</f>
        <v>8427975012210</v>
      </c>
      <c r="R955" t="s">
        <v>782</v>
      </c>
      <c r="T955" s="1" t="s">
        <v>783</v>
      </c>
      <c r="U955">
        <v>402</v>
      </c>
      <c r="V955" t="s">
        <v>664</v>
      </c>
      <c r="W955" t="s">
        <v>668</v>
      </c>
      <c r="X955" t="s">
        <v>224</v>
      </c>
    </row>
    <row r="956" spans="1:24">
      <c r="A956">
        <v>13529</v>
      </c>
      <c r="B956" t="s">
        <v>25</v>
      </c>
      <c r="C956" t="str">
        <f t="shared" si="29"/>
        <v>INTEGRA Saloon</v>
      </c>
      <c r="D956" t="str">
        <f t="shared" si="30"/>
        <v>1.6</v>
      </c>
      <c r="E956" t="s">
        <v>26</v>
      </c>
      <c r="F956">
        <v>198501</v>
      </c>
      <c r="G956">
        <v>199012</v>
      </c>
      <c r="H956">
        <v>74</v>
      </c>
      <c r="I956">
        <v>100</v>
      </c>
      <c r="J956">
        <v>1590</v>
      </c>
      <c r="K956">
        <v>2587918</v>
      </c>
      <c r="L956" t="s">
        <v>784</v>
      </c>
      <c r="M956" t="str">
        <f>"180750"</f>
        <v>180750</v>
      </c>
      <c r="N956" t="str">
        <f>"180750"</f>
        <v>180750</v>
      </c>
      <c r="O956" t="str">
        <f>"20099"</f>
        <v>20099</v>
      </c>
      <c r="P956" t="s">
        <v>664</v>
      </c>
      <c r="Q956" t="str">
        <f>"8424073010063"</f>
        <v>8424073010063</v>
      </c>
      <c r="R956" t="s">
        <v>785</v>
      </c>
      <c r="S956" t="s">
        <v>726</v>
      </c>
      <c r="T956" s="1" t="s">
        <v>786</v>
      </c>
      <c r="U956">
        <v>402</v>
      </c>
      <c r="V956" t="s">
        <v>664</v>
      </c>
      <c r="W956" t="s">
        <v>668</v>
      </c>
      <c r="X956" t="s">
        <v>224</v>
      </c>
    </row>
    <row r="957" spans="1:24">
      <c r="A957">
        <v>13529</v>
      </c>
      <c r="B957" t="s">
        <v>25</v>
      </c>
      <c r="C957" t="str">
        <f t="shared" si="29"/>
        <v>INTEGRA Saloon</v>
      </c>
      <c r="D957" t="str">
        <f t="shared" si="30"/>
        <v>1.6</v>
      </c>
      <c r="E957" t="s">
        <v>26</v>
      </c>
      <c r="F957">
        <v>198501</v>
      </c>
      <c r="G957">
        <v>199012</v>
      </c>
      <c r="H957">
        <v>74</v>
      </c>
      <c r="I957">
        <v>100</v>
      </c>
      <c r="J957">
        <v>1590</v>
      </c>
      <c r="K957">
        <v>2587922</v>
      </c>
      <c r="L957" t="s">
        <v>784</v>
      </c>
      <c r="M957" t="str">
        <f>"180753"</f>
        <v>180753</v>
      </c>
      <c r="N957" t="str">
        <f>"180753"</f>
        <v>180753</v>
      </c>
      <c r="O957" t="str">
        <f>"21312"</f>
        <v>21312</v>
      </c>
      <c r="P957" t="s">
        <v>664</v>
      </c>
      <c r="Q957" t="str">
        <f>"8424073010094"</f>
        <v>8424073010094</v>
      </c>
      <c r="R957" s="1" t="s">
        <v>787</v>
      </c>
      <c r="S957" t="s">
        <v>732</v>
      </c>
      <c r="T957" s="1" t="s">
        <v>788</v>
      </c>
      <c r="U957">
        <v>402</v>
      </c>
      <c r="V957" t="s">
        <v>664</v>
      </c>
      <c r="W957" t="s">
        <v>668</v>
      </c>
      <c r="X957" t="s">
        <v>224</v>
      </c>
    </row>
    <row r="958" spans="1:24">
      <c r="A958">
        <v>13529</v>
      </c>
      <c r="B958" t="s">
        <v>25</v>
      </c>
      <c r="C958" t="str">
        <f t="shared" si="29"/>
        <v>INTEGRA Saloon</v>
      </c>
      <c r="D958" t="str">
        <f t="shared" si="30"/>
        <v>1.6</v>
      </c>
      <c r="E958" t="s">
        <v>26</v>
      </c>
      <c r="F958">
        <v>198501</v>
      </c>
      <c r="G958">
        <v>199012</v>
      </c>
      <c r="H958">
        <v>74</v>
      </c>
      <c r="I958">
        <v>100</v>
      </c>
      <c r="J958">
        <v>1590</v>
      </c>
      <c r="K958">
        <v>2587923</v>
      </c>
      <c r="L958" t="s">
        <v>784</v>
      </c>
      <c r="M958" t="str">
        <f>"180753701"</f>
        <v>180753701</v>
      </c>
      <c r="N958" t="str">
        <f>"180753-701"</f>
        <v>180753-701</v>
      </c>
      <c r="O958" t="str">
        <f>"21312"</f>
        <v>21312</v>
      </c>
      <c r="P958" t="s">
        <v>664</v>
      </c>
      <c r="Q958" t="str">
        <f>"8424073085689"</f>
        <v>8424073085689</v>
      </c>
      <c r="R958" s="1" t="s">
        <v>789</v>
      </c>
      <c r="S958" t="s">
        <v>732</v>
      </c>
      <c r="T958" s="1" t="s">
        <v>790</v>
      </c>
      <c r="U958">
        <v>402</v>
      </c>
      <c r="V958" t="s">
        <v>664</v>
      </c>
      <c r="W958" t="s">
        <v>668</v>
      </c>
      <c r="X958" t="s">
        <v>224</v>
      </c>
    </row>
    <row r="959" spans="1:24">
      <c r="A959">
        <v>13529</v>
      </c>
      <c r="B959" t="s">
        <v>25</v>
      </c>
      <c r="C959" t="str">
        <f t="shared" si="29"/>
        <v>INTEGRA Saloon</v>
      </c>
      <c r="D959" t="str">
        <f t="shared" si="30"/>
        <v>1.6</v>
      </c>
      <c r="E959" t="s">
        <v>26</v>
      </c>
      <c r="F959">
        <v>198501</v>
      </c>
      <c r="G959">
        <v>199012</v>
      </c>
      <c r="H959">
        <v>74</v>
      </c>
      <c r="I959">
        <v>100</v>
      </c>
      <c r="J959">
        <v>1590</v>
      </c>
      <c r="K959">
        <v>2588074</v>
      </c>
      <c r="L959" t="s">
        <v>784</v>
      </c>
      <c r="M959" t="str">
        <f>"180962"</f>
        <v>180962</v>
      </c>
      <c r="N959" t="str">
        <f>"180962"</f>
        <v>180962</v>
      </c>
      <c r="O959" t="str">
        <f>"21446"</f>
        <v>21446</v>
      </c>
      <c r="P959" t="s">
        <v>664</v>
      </c>
      <c r="Q959" t="str">
        <f>"8424073015679"</f>
        <v>8424073015679</v>
      </c>
      <c r="R959" t="s">
        <v>791</v>
      </c>
      <c r="S959" t="s">
        <v>729</v>
      </c>
      <c r="T959" s="1" t="s">
        <v>792</v>
      </c>
      <c r="U959">
        <v>402</v>
      </c>
      <c r="V959" t="s">
        <v>664</v>
      </c>
      <c r="W959" t="s">
        <v>668</v>
      </c>
      <c r="X959" t="s">
        <v>224</v>
      </c>
    </row>
    <row r="960" spans="1:24">
      <c r="A960">
        <v>13529</v>
      </c>
      <c r="B960" t="s">
        <v>25</v>
      </c>
      <c r="C960" t="str">
        <f t="shared" si="29"/>
        <v>INTEGRA Saloon</v>
      </c>
      <c r="D960" t="str">
        <f t="shared" si="30"/>
        <v>1.6</v>
      </c>
      <c r="E960" t="s">
        <v>26</v>
      </c>
      <c r="F960">
        <v>198501</v>
      </c>
      <c r="G960">
        <v>199012</v>
      </c>
      <c r="H960">
        <v>74</v>
      </c>
      <c r="I960">
        <v>100</v>
      </c>
      <c r="J960">
        <v>1590</v>
      </c>
      <c r="K960">
        <v>2607185</v>
      </c>
      <c r="L960" t="s">
        <v>377</v>
      </c>
      <c r="M960" t="str">
        <f>"GDB3034"</f>
        <v>GDB3034</v>
      </c>
      <c r="N960" t="str">
        <f>"GDB3034"</f>
        <v>GDB3034</v>
      </c>
      <c r="O960" t="str">
        <f>"21446"</f>
        <v>21446</v>
      </c>
      <c r="P960" t="s">
        <v>664</v>
      </c>
      <c r="Q960" t="str">
        <f>"3322937118359"</f>
        <v>3322937118359</v>
      </c>
      <c r="R960" t="s">
        <v>793</v>
      </c>
      <c r="S960" t="s">
        <v>678</v>
      </c>
      <c r="T960" s="1" t="s">
        <v>794</v>
      </c>
      <c r="U960">
        <v>402</v>
      </c>
      <c r="V960" t="s">
        <v>664</v>
      </c>
      <c r="W960" t="s">
        <v>668</v>
      </c>
      <c r="X960" t="s">
        <v>224</v>
      </c>
    </row>
    <row r="961" spans="1:24">
      <c r="A961">
        <v>13529</v>
      </c>
      <c r="B961" t="s">
        <v>25</v>
      </c>
      <c r="C961" t="str">
        <f t="shared" si="29"/>
        <v>INTEGRA Saloon</v>
      </c>
      <c r="D961" t="str">
        <f t="shared" si="30"/>
        <v>1.6</v>
      </c>
      <c r="E961" t="s">
        <v>26</v>
      </c>
      <c r="F961">
        <v>198501</v>
      </c>
      <c r="G961">
        <v>199012</v>
      </c>
      <c r="H961">
        <v>74</v>
      </c>
      <c r="I961">
        <v>100</v>
      </c>
      <c r="J961">
        <v>1590</v>
      </c>
      <c r="K961">
        <v>2607917</v>
      </c>
      <c r="L961" t="s">
        <v>377</v>
      </c>
      <c r="M961" t="str">
        <f>"GDB499"</f>
        <v>GDB499</v>
      </c>
      <c r="N961" t="str">
        <f>"GDB499"</f>
        <v>GDB499</v>
      </c>
      <c r="O961" t="str">
        <f>"21312"</f>
        <v>21312</v>
      </c>
      <c r="P961" t="s">
        <v>664</v>
      </c>
      <c r="Q961" t="str">
        <f>"3322936404996"</f>
        <v>3322936404996</v>
      </c>
      <c r="R961" t="s">
        <v>795</v>
      </c>
      <c r="S961" t="s">
        <v>675</v>
      </c>
      <c r="T961" s="1" t="s">
        <v>796</v>
      </c>
      <c r="U961">
        <v>402</v>
      </c>
      <c r="V961" t="s">
        <v>664</v>
      </c>
      <c r="W961" t="s">
        <v>668</v>
      </c>
      <c r="X961" t="s">
        <v>224</v>
      </c>
    </row>
    <row r="962" spans="1:24">
      <c r="A962">
        <v>13529</v>
      </c>
      <c r="B962" t="s">
        <v>25</v>
      </c>
      <c r="C962" t="str">
        <f t="shared" ref="C962:C1025" si="31">"INTEGRA Saloon"</f>
        <v>INTEGRA Saloon</v>
      </c>
      <c r="D962" t="str">
        <f t="shared" si="30"/>
        <v>1.6</v>
      </c>
      <c r="E962" t="s">
        <v>26</v>
      </c>
      <c r="F962">
        <v>198501</v>
      </c>
      <c r="G962">
        <v>199012</v>
      </c>
      <c r="H962">
        <v>74</v>
      </c>
      <c r="I962">
        <v>100</v>
      </c>
      <c r="J962">
        <v>1590</v>
      </c>
      <c r="K962">
        <v>2608633</v>
      </c>
      <c r="L962" t="s">
        <v>377</v>
      </c>
      <c r="M962" t="str">
        <f>"GDB925"</f>
        <v>GDB925</v>
      </c>
      <c r="N962" t="str">
        <f>"GDB925"</f>
        <v>GDB925</v>
      </c>
      <c r="O962" t="str">
        <f>"20099"</f>
        <v>20099</v>
      </c>
      <c r="P962" t="s">
        <v>664</v>
      </c>
      <c r="Q962" t="str">
        <f>"3322936409250"</f>
        <v>3322936409250</v>
      </c>
      <c r="R962" t="s">
        <v>797</v>
      </c>
      <c r="S962" t="s">
        <v>316</v>
      </c>
      <c r="T962" s="1" t="s">
        <v>798</v>
      </c>
      <c r="U962">
        <v>402</v>
      </c>
      <c r="V962" t="s">
        <v>664</v>
      </c>
      <c r="W962" t="s">
        <v>668</v>
      </c>
      <c r="X962" t="s">
        <v>224</v>
      </c>
    </row>
    <row r="963" spans="1:24">
      <c r="A963">
        <v>13529</v>
      </c>
      <c r="B963" t="s">
        <v>25</v>
      </c>
      <c r="C963" t="str">
        <f t="shared" si="31"/>
        <v>INTEGRA Saloon</v>
      </c>
      <c r="D963" t="str">
        <f t="shared" si="30"/>
        <v>1.6</v>
      </c>
      <c r="E963" t="s">
        <v>26</v>
      </c>
      <c r="F963">
        <v>198501</v>
      </c>
      <c r="G963">
        <v>199012</v>
      </c>
      <c r="H963">
        <v>74</v>
      </c>
      <c r="I963">
        <v>100</v>
      </c>
      <c r="J963">
        <v>1590</v>
      </c>
      <c r="K963">
        <v>2655365</v>
      </c>
      <c r="L963" t="s">
        <v>799</v>
      </c>
      <c r="M963" t="str">
        <f>"ASN200"</f>
        <v>ASN200</v>
      </c>
      <c r="N963" t="str">
        <f>"ASN-200"</f>
        <v>ASN-200</v>
      </c>
      <c r="O963" t="str">
        <f>""</f>
        <v/>
      </c>
      <c r="P963" t="s">
        <v>664</v>
      </c>
      <c r="Q963" t="str">
        <f>"5411450605984"</f>
        <v>5411450605984</v>
      </c>
      <c r="R963" t="s">
        <v>800</v>
      </c>
      <c r="S963" t="s">
        <v>678</v>
      </c>
      <c r="T963" s="1" t="s">
        <v>801</v>
      </c>
      <c r="U963">
        <v>402</v>
      </c>
      <c r="V963" t="s">
        <v>664</v>
      </c>
      <c r="W963" t="s">
        <v>668</v>
      </c>
      <c r="X963" t="s">
        <v>224</v>
      </c>
    </row>
    <row r="964" spans="1:24">
      <c r="A964">
        <v>13529</v>
      </c>
      <c r="B964" t="s">
        <v>25</v>
      </c>
      <c r="C964" t="str">
        <f t="shared" si="31"/>
        <v>INTEGRA Saloon</v>
      </c>
      <c r="D964" t="str">
        <f t="shared" si="30"/>
        <v>1.6</v>
      </c>
      <c r="E964" t="s">
        <v>26</v>
      </c>
      <c r="F964">
        <v>198501</v>
      </c>
      <c r="G964">
        <v>199012</v>
      </c>
      <c r="H964">
        <v>74</v>
      </c>
      <c r="I964">
        <v>100</v>
      </c>
      <c r="J964">
        <v>1590</v>
      </c>
      <c r="K964">
        <v>2656058</v>
      </c>
      <c r="L964" t="s">
        <v>799</v>
      </c>
      <c r="M964" t="str">
        <f>"C1N013"</f>
        <v>C1N013</v>
      </c>
      <c r="N964" t="str">
        <f>"C1N013"</f>
        <v>C1N013</v>
      </c>
      <c r="O964" t="str">
        <f>""</f>
        <v/>
      </c>
      <c r="P964" t="s">
        <v>664</v>
      </c>
      <c r="Q964" t="str">
        <f>""</f>
        <v/>
      </c>
      <c r="R964" t="s">
        <v>802</v>
      </c>
      <c r="S964" t="s">
        <v>678</v>
      </c>
      <c r="T964" s="1" t="s">
        <v>803</v>
      </c>
      <c r="U964">
        <v>402</v>
      </c>
      <c r="V964" t="s">
        <v>664</v>
      </c>
      <c r="W964" t="s">
        <v>668</v>
      </c>
      <c r="X964" t="s">
        <v>224</v>
      </c>
    </row>
    <row r="965" spans="1:24">
      <c r="A965">
        <v>13529</v>
      </c>
      <c r="B965" t="s">
        <v>25</v>
      </c>
      <c r="C965" t="str">
        <f t="shared" si="31"/>
        <v>INTEGRA Saloon</v>
      </c>
      <c r="D965" t="str">
        <f t="shared" si="30"/>
        <v>1.6</v>
      </c>
      <c r="E965" t="s">
        <v>26</v>
      </c>
      <c r="F965">
        <v>198501</v>
      </c>
      <c r="G965">
        <v>199012</v>
      </c>
      <c r="H965">
        <v>74</v>
      </c>
      <c r="I965">
        <v>100</v>
      </c>
      <c r="J965">
        <v>1590</v>
      </c>
      <c r="K965">
        <v>2716064</v>
      </c>
      <c r="L965" t="s">
        <v>804</v>
      </c>
      <c r="M965" t="str">
        <f>"JQ101944"</f>
        <v>JQ101944</v>
      </c>
      <c r="N965" t="str">
        <f>"JQ101944"</f>
        <v>JQ101944</v>
      </c>
      <c r="O965" t="str">
        <f>""</f>
        <v/>
      </c>
      <c r="P965" t="s">
        <v>664</v>
      </c>
      <c r="Q965" t="str">
        <f>"5908242626826"</f>
        <v>5908242626826</v>
      </c>
      <c r="R965" t="s">
        <v>805</v>
      </c>
      <c r="T965" s="1" t="s">
        <v>806</v>
      </c>
      <c r="U965">
        <v>402</v>
      </c>
      <c r="V965" t="s">
        <v>664</v>
      </c>
      <c r="W965" t="s">
        <v>668</v>
      </c>
      <c r="X965" t="s">
        <v>224</v>
      </c>
    </row>
    <row r="966" spans="1:24">
      <c r="A966">
        <v>13529</v>
      </c>
      <c r="B966" t="s">
        <v>25</v>
      </c>
      <c r="C966" t="str">
        <f t="shared" si="31"/>
        <v>INTEGRA Saloon</v>
      </c>
      <c r="D966" t="str">
        <f t="shared" si="30"/>
        <v>1.6</v>
      </c>
      <c r="E966" t="s">
        <v>26</v>
      </c>
      <c r="F966">
        <v>198501</v>
      </c>
      <c r="G966">
        <v>199012</v>
      </c>
      <c r="H966">
        <v>74</v>
      </c>
      <c r="I966">
        <v>100</v>
      </c>
      <c r="J966">
        <v>1590</v>
      </c>
      <c r="K966">
        <v>2718639</v>
      </c>
      <c r="L966" t="s">
        <v>149</v>
      </c>
      <c r="M966" t="str">
        <f>"B110662"</f>
        <v>B110662</v>
      </c>
      <c r="N966" t="str">
        <f>"B110662"</f>
        <v>B110662</v>
      </c>
      <c r="O966" t="str">
        <f>""</f>
        <v/>
      </c>
      <c r="P966" t="s">
        <v>664</v>
      </c>
      <c r="Q966" t="str">
        <f>"5901225711090"</f>
        <v>5901225711090</v>
      </c>
      <c r="R966" t="s">
        <v>807</v>
      </c>
      <c r="T966" s="1" t="s">
        <v>1403</v>
      </c>
      <c r="U966">
        <v>402</v>
      </c>
      <c r="V966" t="s">
        <v>664</v>
      </c>
      <c r="W966" t="s">
        <v>668</v>
      </c>
      <c r="X966" t="s">
        <v>224</v>
      </c>
    </row>
    <row r="967" spans="1:24">
      <c r="A967">
        <v>13529</v>
      </c>
      <c r="B967" t="s">
        <v>25</v>
      </c>
      <c r="C967" t="str">
        <f t="shared" si="31"/>
        <v>INTEGRA Saloon</v>
      </c>
      <c r="D967" t="str">
        <f t="shared" si="30"/>
        <v>1.6</v>
      </c>
      <c r="E967" t="s">
        <v>26</v>
      </c>
      <c r="F967">
        <v>198501</v>
      </c>
      <c r="G967">
        <v>199012</v>
      </c>
      <c r="H967">
        <v>74</v>
      </c>
      <c r="I967">
        <v>100</v>
      </c>
      <c r="J967">
        <v>1590</v>
      </c>
      <c r="K967">
        <v>2784920</v>
      </c>
      <c r="L967" t="s">
        <v>236</v>
      </c>
      <c r="M967" t="str">
        <f>"05P073"</f>
        <v>05P073</v>
      </c>
      <c r="N967" t="str">
        <f>"05P073"</f>
        <v>05P073</v>
      </c>
      <c r="O967" t="str">
        <f>"20099"</f>
        <v>20099</v>
      </c>
      <c r="P967" t="s">
        <v>664</v>
      </c>
      <c r="Q967" t="str">
        <f>"8032532061053"</f>
        <v>8032532061053</v>
      </c>
      <c r="R967" t="s">
        <v>809</v>
      </c>
      <c r="S967" t="s">
        <v>810</v>
      </c>
      <c r="T967" s="1" t="s">
        <v>811</v>
      </c>
      <c r="U967">
        <v>402</v>
      </c>
      <c r="V967" t="s">
        <v>664</v>
      </c>
      <c r="W967" t="s">
        <v>668</v>
      </c>
      <c r="X967" t="s">
        <v>224</v>
      </c>
    </row>
    <row r="968" spans="1:24">
      <c r="A968">
        <v>13529</v>
      </c>
      <c r="B968" t="s">
        <v>25</v>
      </c>
      <c r="C968" t="str">
        <f t="shared" si="31"/>
        <v>INTEGRA Saloon</v>
      </c>
      <c r="D968" t="str">
        <f t="shared" si="30"/>
        <v>1.6</v>
      </c>
      <c r="E968" t="s">
        <v>26</v>
      </c>
      <c r="F968">
        <v>198501</v>
      </c>
      <c r="G968">
        <v>199012</v>
      </c>
      <c r="H968">
        <v>74</v>
      </c>
      <c r="I968">
        <v>100</v>
      </c>
      <c r="J968">
        <v>1590</v>
      </c>
      <c r="K968">
        <v>2786042</v>
      </c>
      <c r="L968" t="s">
        <v>236</v>
      </c>
      <c r="M968" t="str">
        <f>"05P506"</f>
        <v>05P506</v>
      </c>
      <c r="N968" t="str">
        <f>"05P506"</f>
        <v>05P506</v>
      </c>
      <c r="O968" t="str">
        <f>"21312"</f>
        <v>21312</v>
      </c>
      <c r="P968" t="s">
        <v>664</v>
      </c>
      <c r="Q968" t="str">
        <f>"8032532062470"</f>
        <v>8032532062470</v>
      </c>
      <c r="R968" t="s">
        <v>812</v>
      </c>
      <c r="S968" t="s">
        <v>813</v>
      </c>
      <c r="T968" s="1" t="s">
        <v>814</v>
      </c>
      <c r="U968">
        <v>402</v>
      </c>
      <c r="V968" t="s">
        <v>664</v>
      </c>
      <c r="W968" t="s">
        <v>668</v>
      </c>
      <c r="X968" t="s">
        <v>224</v>
      </c>
    </row>
    <row r="969" spans="1:24">
      <c r="A969">
        <v>13529</v>
      </c>
      <c r="B969" t="s">
        <v>25</v>
      </c>
      <c r="C969" t="str">
        <f t="shared" si="31"/>
        <v>INTEGRA Saloon</v>
      </c>
      <c r="D969" t="str">
        <f t="shared" si="30"/>
        <v>1.6</v>
      </c>
      <c r="E969" t="s">
        <v>26</v>
      </c>
      <c r="F969">
        <v>198501</v>
      </c>
      <c r="G969">
        <v>199012</v>
      </c>
      <c r="H969">
        <v>74</v>
      </c>
      <c r="I969">
        <v>100</v>
      </c>
      <c r="J969">
        <v>1590</v>
      </c>
      <c r="K969">
        <v>2786081</v>
      </c>
      <c r="L969" t="s">
        <v>236</v>
      </c>
      <c r="M969" t="str">
        <f>"05P555"</f>
        <v>05P555</v>
      </c>
      <c r="N969" t="str">
        <f>"05P555"</f>
        <v>05P555</v>
      </c>
      <c r="O969" t="str">
        <f>"21448"</f>
        <v>21448</v>
      </c>
      <c r="P969" t="s">
        <v>664</v>
      </c>
      <c r="Q969" t="str">
        <f>"8032532058879"</f>
        <v>8032532058879</v>
      </c>
      <c r="R969" t="s">
        <v>815</v>
      </c>
      <c r="S969" t="s">
        <v>816</v>
      </c>
      <c r="T969" s="1" t="s">
        <v>817</v>
      </c>
      <c r="U969">
        <v>402</v>
      </c>
      <c r="V969" t="s">
        <v>664</v>
      </c>
      <c r="W969" t="s">
        <v>668</v>
      </c>
      <c r="X969" t="s">
        <v>224</v>
      </c>
    </row>
    <row r="970" spans="1:24">
      <c r="A970">
        <v>13529</v>
      </c>
      <c r="B970" t="s">
        <v>25</v>
      </c>
      <c r="C970" t="str">
        <f t="shared" si="31"/>
        <v>INTEGRA Saloon</v>
      </c>
      <c r="D970" t="str">
        <f t="shared" si="30"/>
        <v>1.6</v>
      </c>
      <c r="E970" t="s">
        <v>26</v>
      </c>
      <c r="F970">
        <v>198501</v>
      </c>
      <c r="G970">
        <v>199012</v>
      </c>
      <c r="H970">
        <v>74</v>
      </c>
      <c r="I970">
        <v>100</v>
      </c>
      <c r="J970">
        <v>1590</v>
      </c>
      <c r="K970">
        <v>2807312</v>
      </c>
      <c r="L970" t="s">
        <v>239</v>
      </c>
      <c r="M970" t="str">
        <f>"1731"</f>
        <v>1731</v>
      </c>
      <c r="N970" t="str">
        <f>"173.1"</f>
        <v>173.1</v>
      </c>
      <c r="O970" t="str">
        <f>"21312"</f>
        <v>21312</v>
      </c>
      <c r="P970" t="s">
        <v>664</v>
      </c>
      <c r="Q970" t="str">
        <f>""</f>
        <v/>
      </c>
      <c r="R970" t="s">
        <v>674</v>
      </c>
      <c r="S970" t="s">
        <v>675</v>
      </c>
      <c r="T970" s="1" t="s">
        <v>818</v>
      </c>
      <c r="U970">
        <v>402</v>
      </c>
      <c r="V970" t="s">
        <v>664</v>
      </c>
      <c r="W970" t="s">
        <v>668</v>
      </c>
      <c r="X970" t="s">
        <v>224</v>
      </c>
    </row>
    <row r="971" spans="1:24">
      <c r="A971">
        <v>13529</v>
      </c>
      <c r="B971" t="s">
        <v>25</v>
      </c>
      <c r="C971" t="str">
        <f t="shared" si="31"/>
        <v>INTEGRA Saloon</v>
      </c>
      <c r="D971" t="str">
        <f t="shared" si="30"/>
        <v>1.6</v>
      </c>
      <c r="E971" t="s">
        <v>26</v>
      </c>
      <c r="F971">
        <v>198501</v>
      </c>
      <c r="G971">
        <v>199012</v>
      </c>
      <c r="H971">
        <v>74</v>
      </c>
      <c r="I971">
        <v>100</v>
      </c>
      <c r="J971">
        <v>1590</v>
      </c>
      <c r="K971">
        <v>2807313</v>
      </c>
      <c r="L971" t="s">
        <v>239</v>
      </c>
      <c r="M971" t="str">
        <f>"1740"</f>
        <v>1740</v>
      </c>
      <c r="N971" t="str">
        <f>"174.0"</f>
        <v>174.0</v>
      </c>
      <c r="O971" t="str">
        <f>"21446"</f>
        <v>21446</v>
      </c>
      <c r="P971" t="s">
        <v>664</v>
      </c>
      <c r="Q971" t="str">
        <f>""</f>
        <v/>
      </c>
      <c r="R971" t="s">
        <v>677</v>
      </c>
      <c r="S971" t="s">
        <v>678</v>
      </c>
      <c r="T971" s="1" t="s">
        <v>819</v>
      </c>
      <c r="U971">
        <v>402</v>
      </c>
      <c r="V971" t="s">
        <v>664</v>
      </c>
      <c r="W971" t="s">
        <v>668</v>
      </c>
      <c r="X971" t="s">
        <v>224</v>
      </c>
    </row>
    <row r="972" spans="1:24">
      <c r="A972">
        <v>13529</v>
      </c>
      <c r="B972" t="s">
        <v>25</v>
      </c>
      <c r="C972" t="str">
        <f t="shared" si="31"/>
        <v>INTEGRA Saloon</v>
      </c>
      <c r="D972" t="str">
        <f t="shared" si="30"/>
        <v>1.6</v>
      </c>
      <c r="E972" t="s">
        <v>26</v>
      </c>
      <c r="F972">
        <v>198501</v>
      </c>
      <c r="G972">
        <v>199012</v>
      </c>
      <c r="H972">
        <v>74</v>
      </c>
      <c r="I972">
        <v>100</v>
      </c>
      <c r="J972">
        <v>1590</v>
      </c>
      <c r="K972">
        <v>2807438</v>
      </c>
      <c r="L972" t="s">
        <v>239</v>
      </c>
      <c r="M972" t="str">
        <f>"2461"</f>
        <v>2461</v>
      </c>
      <c r="N972" t="str">
        <f>"246.1"</f>
        <v>246.1</v>
      </c>
      <c r="O972" t="str">
        <f>"20099"</f>
        <v>20099</v>
      </c>
      <c r="P972" t="s">
        <v>664</v>
      </c>
      <c r="Q972" t="str">
        <f>""</f>
        <v/>
      </c>
      <c r="R972" t="s">
        <v>680</v>
      </c>
      <c r="S972" t="s">
        <v>681</v>
      </c>
      <c r="T972" s="1" t="s">
        <v>820</v>
      </c>
      <c r="U972">
        <v>402</v>
      </c>
      <c r="V972" t="s">
        <v>664</v>
      </c>
      <c r="W972" t="s">
        <v>668</v>
      </c>
      <c r="X972" t="s">
        <v>224</v>
      </c>
    </row>
    <row r="973" spans="1:24">
      <c r="A973">
        <v>13529</v>
      </c>
      <c r="B973" t="s">
        <v>25</v>
      </c>
      <c r="C973" t="str">
        <f t="shared" si="31"/>
        <v>INTEGRA Saloon</v>
      </c>
      <c r="D973" t="str">
        <f t="shared" si="30"/>
        <v>1.6</v>
      </c>
      <c r="E973" t="s">
        <v>26</v>
      </c>
      <c r="F973">
        <v>198501</v>
      </c>
      <c r="G973">
        <v>199012</v>
      </c>
      <c r="H973">
        <v>74</v>
      </c>
      <c r="I973">
        <v>100</v>
      </c>
      <c r="J973">
        <v>1590</v>
      </c>
      <c r="K973">
        <v>2991211</v>
      </c>
      <c r="L973" t="s">
        <v>242</v>
      </c>
      <c r="M973" t="str">
        <f>"FD6290A"</f>
        <v>FD6290A</v>
      </c>
      <c r="N973" t="str">
        <f>"FD6290A"</f>
        <v>FD6290A</v>
      </c>
      <c r="O973" t="str">
        <f>"20099"</f>
        <v>20099</v>
      </c>
      <c r="P973" t="s">
        <v>664</v>
      </c>
      <c r="Q973" t="str">
        <f>"8426345502214"</f>
        <v>8426345502214</v>
      </c>
      <c r="R973" t="s">
        <v>821</v>
      </c>
      <c r="T973" s="1" t="s">
        <v>1404</v>
      </c>
      <c r="U973">
        <v>402</v>
      </c>
      <c r="V973" t="s">
        <v>664</v>
      </c>
      <c r="W973" t="s">
        <v>668</v>
      </c>
      <c r="X973" t="s">
        <v>224</v>
      </c>
    </row>
    <row r="974" spans="1:24">
      <c r="A974">
        <v>13529</v>
      </c>
      <c r="B974" t="s">
        <v>25</v>
      </c>
      <c r="C974" t="str">
        <f t="shared" si="31"/>
        <v>INTEGRA Saloon</v>
      </c>
      <c r="D974" t="str">
        <f t="shared" si="30"/>
        <v>1.6</v>
      </c>
      <c r="E974" t="s">
        <v>26</v>
      </c>
      <c r="F974">
        <v>198501</v>
      </c>
      <c r="G974">
        <v>199012</v>
      </c>
      <c r="H974">
        <v>74</v>
      </c>
      <c r="I974">
        <v>100</v>
      </c>
      <c r="J974">
        <v>1590</v>
      </c>
      <c r="K974">
        <v>2991240</v>
      </c>
      <c r="L974" t="s">
        <v>242</v>
      </c>
      <c r="M974" t="str">
        <f>"FD6344A"</f>
        <v>FD6344A</v>
      </c>
      <c r="N974" t="str">
        <f>"FD6344A"</f>
        <v>FD6344A</v>
      </c>
      <c r="O974" t="str">
        <f>"21312"</f>
        <v>21312</v>
      </c>
      <c r="P974" t="s">
        <v>664</v>
      </c>
      <c r="Q974" t="str">
        <f>"8426345502368"</f>
        <v>8426345502368</v>
      </c>
      <c r="R974" t="s">
        <v>740</v>
      </c>
      <c r="T974" s="1" t="s">
        <v>823</v>
      </c>
      <c r="U974">
        <v>402</v>
      </c>
      <c r="V974" t="s">
        <v>664</v>
      </c>
      <c r="W974" t="s">
        <v>668</v>
      </c>
      <c r="X974" t="s">
        <v>224</v>
      </c>
    </row>
    <row r="975" spans="1:24">
      <c r="A975">
        <v>13529</v>
      </c>
      <c r="B975" t="s">
        <v>25</v>
      </c>
      <c r="C975" t="str">
        <f t="shared" si="31"/>
        <v>INTEGRA Saloon</v>
      </c>
      <c r="D975" t="str">
        <f t="shared" si="30"/>
        <v>1.6</v>
      </c>
      <c r="E975" t="s">
        <v>26</v>
      </c>
      <c r="F975">
        <v>198501</v>
      </c>
      <c r="G975">
        <v>199012</v>
      </c>
      <c r="H975">
        <v>74</v>
      </c>
      <c r="I975">
        <v>100</v>
      </c>
      <c r="J975">
        <v>1590</v>
      </c>
      <c r="K975">
        <v>2991241</v>
      </c>
      <c r="L975" t="s">
        <v>242</v>
      </c>
      <c r="M975" t="str">
        <f>"FD6344N"</f>
        <v>FD6344N</v>
      </c>
      <c r="N975" t="str">
        <f>"FD6344N"</f>
        <v>FD6344N</v>
      </c>
      <c r="O975" t="str">
        <f>"21312"</f>
        <v>21312</v>
      </c>
      <c r="P975" t="s">
        <v>664</v>
      </c>
      <c r="Q975" t="str">
        <f>"4044197383672"</f>
        <v>4044197383672</v>
      </c>
      <c r="R975" t="s">
        <v>824</v>
      </c>
      <c r="T975" s="1" t="s">
        <v>825</v>
      </c>
      <c r="U975">
        <v>402</v>
      </c>
      <c r="V975" t="s">
        <v>664</v>
      </c>
      <c r="W975" t="s">
        <v>668</v>
      </c>
      <c r="X975" t="s">
        <v>224</v>
      </c>
    </row>
    <row r="976" spans="1:24">
      <c r="A976">
        <v>13529</v>
      </c>
      <c r="B976" t="s">
        <v>25</v>
      </c>
      <c r="C976" t="str">
        <f t="shared" si="31"/>
        <v>INTEGRA Saloon</v>
      </c>
      <c r="D976" t="str">
        <f t="shared" si="30"/>
        <v>1.6</v>
      </c>
      <c r="E976" t="s">
        <v>26</v>
      </c>
      <c r="F976">
        <v>198501</v>
      </c>
      <c r="G976">
        <v>199012</v>
      </c>
      <c r="H976">
        <v>74</v>
      </c>
      <c r="I976">
        <v>100</v>
      </c>
      <c r="J976">
        <v>1590</v>
      </c>
      <c r="K976">
        <v>3030816</v>
      </c>
      <c r="L976" t="s">
        <v>33</v>
      </c>
      <c r="M976" t="str">
        <f>"J3604018"</f>
        <v>J3604018</v>
      </c>
      <c r="N976" t="str">
        <f>"J3604018"</f>
        <v>J3604018</v>
      </c>
      <c r="O976" t="str">
        <f>""</f>
        <v/>
      </c>
      <c r="P976" t="s">
        <v>664</v>
      </c>
      <c r="Q976" t="str">
        <f>"8711768056544"</f>
        <v>8711768056544</v>
      </c>
      <c r="R976" t="s">
        <v>826</v>
      </c>
      <c r="S976" t="s">
        <v>310</v>
      </c>
      <c r="T976" s="1" t="s">
        <v>827</v>
      </c>
      <c r="U976">
        <v>402</v>
      </c>
      <c r="V976" t="s">
        <v>664</v>
      </c>
      <c r="W976" t="s">
        <v>668</v>
      </c>
      <c r="X976" t="s">
        <v>224</v>
      </c>
    </row>
    <row r="977" spans="1:24">
      <c r="A977">
        <v>13529</v>
      </c>
      <c r="B977" t="s">
        <v>25</v>
      </c>
      <c r="C977" t="str">
        <f t="shared" si="31"/>
        <v>INTEGRA Saloon</v>
      </c>
      <c r="D977" t="str">
        <f t="shared" si="30"/>
        <v>1.6</v>
      </c>
      <c r="E977" t="s">
        <v>26</v>
      </c>
      <c r="F977">
        <v>198501</v>
      </c>
      <c r="G977">
        <v>199012</v>
      </c>
      <c r="H977">
        <v>74</v>
      </c>
      <c r="I977">
        <v>100</v>
      </c>
      <c r="J977">
        <v>1590</v>
      </c>
      <c r="K977">
        <v>3030988</v>
      </c>
      <c r="L977" t="s">
        <v>33</v>
      </c>
      <c r="M977" t="str">
        <f>"J3614004"</f>
        <v>J3614004</v>
      </c>
      <c r="N977" t="str">
        <f>"J3614004"</f>
        <v>J3614004</v>
      </c>
      <c r="O977" t="str">
        <f>""</f>
        <v/>
      </c>
      <c r="P977" t="s">
        <v>664</v>
      </c>
      <c r="Q977" t="str">
        <f>"8711768057732"</f>
        <v>8711768057732</v>
      </c>
      <c r="R977" t="s">
        <v>828</v>
      </c>
      <c r="S977" t="s">
        <v>221</v>
      </c>
      <c r="T977" s="1" t="s">
        <v>829</v>
      </c>
      <c r="U977">
        <v>402</v>
      </c>
      <c r="V977" t="s">
        <v>664</v>
      </c>
      <c r="W977" t="s">
        <v>668</v>
      </c>
      <c r="X977" t="s">
        <v>224</v>
      </c>
    </row>
    <row r="978" spans="1:24">
      <c r="A978">
        <v>13529</v>
      </c>
      <c r="B978" t="s">
        <v>25</v>
      </c>
      <c r="C978" t="str">
        <f t="shared" si="31"/>
        <v>INTEGRA Saloon</v>
      </c>
      <c r="D978" t="str">
        <f t="shared" si="30"/>
        <v>1.6</v>
      </c>
      <c r="E978" t="s">
        <v>26</v>
      </c>
      <c r="F978">
        <v>198501</v>
      </c>
      <c r="G978">
        <v>199012</v>
      </c>
      <c r="H978">
        <v>74</v>
      </c>
      <c r="I978">
        <v>100</v>
      </c>
      <c r="J978">
        <v>1590</v>
      </c>
      <c r="K978">
        <v>3228278</v>
      </c>
      <c r="L978" t="s">
        <v>401</v>
      </c>
      <c r="M978" t="str">
        <f>"6104999"</f>
        <v>6104999</v>
      </c>
      <c r="N978" t="str">
        <f>"6104999"</f>
        <v>6104999</v>
      </c>
      <c r="O978" t="str">
        <f>"21312"</f>
        <v>21312</v>
      </c>
      <c r="P978" t="s">
        <v>664</v>
      </c>
      <c r="Q978" t="str">
        <f>"3322937437313"</f>
        <v>3322937437313</v>
      </c>
      <c r="R978" t="s">
        <v>795</v>
      </c>
      <c r="S978" t="s">
        <v>675</v>
      </c>
      <c r="T978" s="1" t="s">
        <v>830</v>
      </c>
      <c r="U978">
        <v>402</v>
      </c>
      <c r="V978" t="s">
        <v>664</v>
      </c>
      <c r="W978" t="s">
        <v>668</v>
      </c>
      <c r="X978" t="s">
        <v>224</v>
      </c>
    </row>
    <row r="979" spans="1:24">
      <c r="A979">
        <v>13529</v>
      </c>
      <c r="B979" t="s">
        <v>25</v>
      </c>
      <c r="C979" t="str">
        <f t="shared" si="31"/>
        <v>INTEGRA Saloon</v>
      </c>
      <c r="D979" t="str">
        <f t="shared" si="30"/>
        <v>1.6</v>
      </c>
      <c r="E979" t="s">
        <v>26</v>
      </c>
      <c r="F979">
        <v>198501</v>
      </c>
      <c r="G979">
        <v>199012</v>
      </c>
      <c r="H979">
        <v>74</v>
      </c>
      <c r="I979">
        <v>100</v>
      </c>
      <c r="J979">
        <v>1590</v>
      </c>
      <c r="K979">
        <v>3228413</v>
      </c>
      <c r="L979" t="s">
        <v>401</v>
      </c>
      <c r="M979" t="str">
        <f>"6109259"</f>
        <v>6109259</v>
      </c>
      <c r="N979" t="str">
        <f>"6109259"</f>
        <v>6109259</v>
      </c>
      <c r="O979" t="str">
        <f>"20099"</f>
        <v>20099</v>
      </c>
      <c r="P979" t="s">
        <v>664</v>
      </c>
      <c r="Q979" t="str">
        <f>"3322937438792"</f>
        <v>3322937438792</v>
      </c>
      <c r="R979" t="s">
        <v>797</v>
      </c>
      <c r="S979" t="s">
        <v>316</v>
      </c>
      <c r="T979" s="1" t="s">
        <v>831</v>
      </c>
      <c r="U979">
        <v>402</v>
      </c>
      <c r="V979" t="s">
        <v>664</v>
      </c>
      <c r="W979" t="s">
        <v>668</v>
      </c>
      <c r="X979" t="s">
        <v>224</v>
      </c>
    </row>
    <row r="980" spans="1:24">
      <c r="A980">
        <v>13529</v>
      </c>
      <c r="B980" t="s">
        <v>25</v>
      </c>
      <c r="C980" t="str">
        <f t="shared" si="31"/>
        <v>INTEGRA Saloon</v>
      </c>
      <c r="D980" t="str">
        <f t="shared" si="30"/>
        <v>1.6</v>
      </c>
      <c r="E980" t="s">
        <v>26</v>
      </c>
      <c r="F980">
        <v>198501</v>
      </c>
      <c r="G980">
        <v>199012</v>
      </c>
      <c r="H980">
        <v>74</v>
      </c>
      <c r="I980">
        <v>100</v>
      </c>
      <c r="J980">
        <v>1590</v>
      </c>
      <c r="K980">
        <v>3229246</v>
      </c>
      <c r="L980" t="s">
        <v>401</v>
      </c>
      <c r="M980" t="str">
        <f>"6130349"</f>
        <v>6130349</v>
      </c>
      <c r="N980" t="str">
        <f>"6130349"</f>
        <v>6130349</v>
      </c>
      <c r="O980" t="str">
        <f>"21446"</f>
        <v>21446</v>
      </c>
      <c r="P980" t="s">
        <v>664</v>
      </c>
      <c r="Q980" t="str">
        <f>"3322937444755"</f>
        <v>3322937444755</v>
      </c>
      <c r="R980" t="s">
        <v>793</v>
      </c>
      <c r="S980" t="s">
        <v>678</v>
      </c>
      <c r="T980" s="1" t="s">
        <v>832</v>
      </c>
      <c r="U980">
        <v>402</v>
      </c>
      <c r="V980" t="s">
        <v>664</v>
      </c>
      <c r="W980" t="s">
        <v>668</v>
      </c>
      <c r="X980" t="s">
        <v>224</v>
      </c>
    </row>
    <row r="981" spans="1:24">
      <c r="A981">
        <v>13529</v>
      </c>
      <c r="B981" t="s">
        <v>25</v>
      </c>
      <c r="C981" t="str">
        <f t="shared" si="31"/>
        <v>INTEGRA Saloon</v>
      </c>
      <c r="D981" t="str">
        <f t="shared" si="30"/>
        <v>1.6</v>
      </c>
      <c r="E981" t="s">
        <v>26</v>
      </c>
      <c r="F981">
        <v>198501</v>
      </c>
      <c r="G981">
        <v>199012</v>
      </c>
      <c r="H981">
        <v>74</v>
      </c>
      <c r="I981">
        <v>100</v>
      </c>
      <c r="J981">
        <v>1590</v>
      </c>
      <c r="K981">
        <v>3234188</v>
      </c>
      <c r="L981" t="s">
        <v>199</v>
      </c>
      <c r="M981" t="str">
        <f>"022802"</f>
        <v>022802</v>
      </c>
      <c r="N981" t="str">
        <f>"0228 02"</f>
        <v>0228 02</v>
      </c>
      <c r="O981" t="str">
        <f>""</f>
        <v/>
      </c>
      <c r="P981" t="s">
        <v>664</v>
      </c>
      <c r="Q981" t="str">
        <f>""</f>
        <v/>
      </c>
      <c r="R981" t="s">
        <v>774</v>
      </c>
      <c r="T981" s="1" t="s">
        <v>780</v>
      </c>
      <c r="U981">
        <v>402</v>
      </c>
      <c r="V981" t="s">
        <v>664</v>
      </c>
      <c r="W981" t="s">
        <v>668</v>
      </c>
      <c r="X981" t="s">
        <v>224</v>
      </c>
    </row>
    <row r="982" spans="1:24">
      <c r="A982">
        <v>13529</v>
      </c>
      <c r="B982" t="s">
        <v>25</v>
      </c>
      <c r="C982" t="str">
        <f t="shared" si="31"/>
        <v>INTEGRA Saloon</v>
      </c>
      <c r="D982" t="str">
        <f t="shared" si="30"/>
        <v>1.6</v>
      </c>
      <c r="E982" t="s">
        <v>26</v>
      </c>
      <c r="F982">
        <v>198501</v>
      </c>
      <c r="G982">
        <v>199012</v>
      </c>
      <c r="H982">
        <v>74</v>
      </c>
      <c r="I982">
        <v>100</v>
      </c>
      <c r="J982">
        <v>1590</v>
      </c>
      <c r="K982">
        <v>3234197</v>
      </c>
      <c r="L982" t="s">
        <v>199</v>
      </c>
      <c r="M982" t="str">
        <f>"023320"</f>
        <v>023320</v>
      </c>
      <c r="N982" t="str">
        <f>"0233 20"</f>
        <v>0233 20</v>
      </c>
      <c r="O982" t="str">
        <f>""</f>
        <v/>
      </c>
      <c r="P982" t="s">
        <v>664</v>
      </c>
      <c r="Q982" t="str">
        <f>""</f>
        <v/>
      </c>
      <c r="R982" s="1" t="s">
        <v>776</v>
      </c>
      <c r="T982" s="1" t="s">
        <v>781</v>
      </c>
      <c r="U982">
        <v>402</v>
      </c>
      <c r="V982" t="s">
        <v>664</v>
      </c>
      <c r="W982" t="s">
        <v>668</v>
      </c>
      <c r="X982" t="s">
        <v>224</v>
      </c>
    </row>
    <row r="983" spans="1:24">
      <c r="A983">
        <v>13529</v>
      </c>
      <c r="B983" t="s">
        <v>25</v>
      </c>
      <c r="C983" t="str">
        <f t="shared" si="31"/>
        <v>INTEGRA Saloon</v>
      </c>
      <c r="D983" t="str">
        <f t="shared" si="30"/>
        <v>1.6</v>
      </c>
      <c r="E983" t="s">
        <v>26</v>
      </c>
      <c r="F983">
        <v>198501</v>
      </c>
      <c r="G983">
        <v>199012</v>
      </c>
      <c r="H983">
        <v>74</v>
      </c>
      <c r="I983">
        <v>100</v>
      </c>
      <c r="J983">
        <v>1590</v>
      </c>
      <c r="K983">
        <v>3234996</v>
      </c>
      <c r="L983" t="s">
        <v>199</v>
      </c>
      <c r="M983" t="str">
        <f>"064610"</f>
        <v>064610</v>
      </c>
      <c r="N983" t="str">
        <f>"0646 10"</f>
        <v>0646 10</v>
      </c>
      <c r="O983" t="str">
        <f>""</f>
        <v/>
      </c>
      <c r="P983" t="s">
        <v>664</v>
      </c>
      <c r="Q983" t="str">
        <f>""</f>
        <v/>
      </c>
      <c r="R983" t="s">
        <v>782</v>
      </c>
      <c r="T983" s="1" t="s">
        <v>833</v>
      </c>
      <c r="U983">
        <v>402</v>
      </c>
      <c r="V983" t="s">
        <v>664</v>
      </c>
      <c r="W983" t="s">
        <v>668</v>
      </c>
      <c r="X983" t="s">
        <v>224</v>
      </c>
    </row>
    <row r="984" spans="1:24">
      <c r="A984">
        <v>13529</v>
      </c>
      <c r="B984" t="s">
        <v>25</v>
      </c>
      <c r="C984" t="str">
        <f t="shared" si="31"/>
        <v>INTEGRA Saloon</v>
      </c>
      <c r="D984" t="str">
        <f t="shared" si="30"/>
        <v>1.6</v>
      </c>
      <c r="E984" t="s">
        <v>26</v>
      </c>
      <c r="F984">
        <v>198501</v>
      </c>
      <c r="G984">
        <v>199012</v>
      </c>
      <c r="H984">
        <v>74</v>
      </c>
      <c r="I984">
        <v>100</v>
      </c>
      <c r="J984">
        <v>1590</v>
      </c>
      <c r="K984">
        <v>3299734</v>
      </c>
      <c r="L984" t="s">
        <v>247</v>
      </c>
      <c r="M984" t="str">
        <f>"1731"</f>
        <v>1731</v>
      </c>
      <c r="N984" t="str">
        <f>"173.1"</f>
        <v>173.1</v>
      </c>
      <c r="O984" t="str">
        <f>"21312"</f>
        <v>21312</v>
      </c>
      <c r="P984" t="s">
        <v>664</v>
      </c>
      <c r="Q984" t="str">
        <f>""</f>
        <v/>
      </c>
      <c r="R984" t="s">
        <v>674</v>
      </c>
      <c r="S984" t="s">
        <v>675</v>
      </c>
      <c r="T984" s="1" t="s">
        <v>818</v>
      </c>
      <c r="U984">
        <v>402</v>
      </c>
      <c r="V984" t="s">
        <v>664</v>
      </c>
      <c r="W984" t="s">
        <v>668</v>
      </c>
      <c r="X984" t="s">
        <v>224</v>
      </c>
    </row>
    <row r="985" spans="1:24">
      <c r="A985">
        <v>13529</v>
      </c>
      <c r="B985" t="s">
        <v>25</v>
      </c>
      <c r="C985" t="str">
        <f t="shared" si="31"/>
        <v>INTEGRA Saloon</v>
      </c>
      <c r="D985" t="str">
        <f t="shared" si="30"/>
        <v>1.6</v>
      </c>
      <c r="E985" t="s">
        <v>26</v>
      </c>
      <c r="F985">
        <v>198501</v>
      </c>
      <c r="G985">
        <v>199012</v>
      </c>
      <c r="H985">
        <v>74</v>
      </c>
      <c r="I985">
        <v>100</v>
      </c>
      <c r="J985">
        <v>1590</v>
      </c>
      <c r="K985">
        <v>3299829</v>
      </c>
      <c r="L985" t="s">
        <v>247</v>
      </c>
      <c r="M985" t="str">
        <f>"1740"</f>
        <v>1740</v>
      </c>
      <c r="N985" t="str">
        <f>"174.0"</f>
        <v>174.0</v>
      </c>
      <c r="O985" t="str">
        <f>"21446"</f>
        <v>21446</v>
      </c>
      <c r="P985" t="s">
        <v>664</v>
      </c>
      <c r="Q985" t="str">
        <f>""</f>
        <v/>
      </c>
      <c r="R985" t="s">
        <v>677</v>
      </c>
      <c r="S985" t="s">
        <v>678</v>
      </c>
      <c r="T985" s="1" t="s">
        <v>819</v>
      </c>
      <c r="U985">
        <v>402</v>
      </c>
      <c r="V985" t="s">
        <v>664</v>
      </c>
      <c r="W985" t="s">
        <v>668</v>
      </c>
      <c r="X985" t="s">
        <v>224</v>
      </c>
    </row>
    <row r="986" spans="1:24">
      <c r="A986">
        <v>13529</v>
      </c>
      <c r="B986" t="s">
        <v>25</v>
      </c>
      <c r="C986" t="str">
        <f t="shared" si="31"/>
        <v>INTEGRA Saloon</v>
      </c>
      <c r="D986" t="str">
        <f t="shared" si="30"/>
        <v>1.6</v>
      </c>
      <c r="E986" t="s">
        <v>26</v>
      </c>
      <c r="F986">
        <v>198501</v>
      </c>
      <c r="G986">
        <v>199012</v>
      </c>
      <c r="H986">
        <v>74</v>
      </c>
      <c r="I986">
        <v>100</v>
      </c>
      <c r="J986">
        <v>1590</v>
      </c>
      <c r="K986">
        <v>3300011</v>
      </c>
      <c r="L986" t="s">
        <v>247</v>
      </c>
      <c r="M986" t="str">
        <f>"2461"</f>
        <v>2461</v>
      </c>
      <c r="N986" t="str">
        <f>"246.1"</f>
        <v>246.1</v>
      </c>
      <c r="O986" t="str">
        <f>"20099"</f>
        <v>20099</v>
      </c>
      <c r="P986" t="s">
        <v>664</v>
      </c>
      <c r="Q986" t="str">
        <f>""</f>
        <v/>
      </c>
      <c r="R986" t="s">
        <v>680</v>
      </c>
      <c r="S986" t="s">
        <v>681</v>
      </c>
      <c r="T986" s="1" t="s">
        <v>820</v>
      </c>
      <c r="U986">
        <v>402</v>
      </c>
      <c r="V986" t="s">
        <v>664</v>
      </c>
      <c r="W986" t="s">
        <v>668</v>
      </c>
      <c r="X986" t="s">
        <v>224</v>
      </c>
    </row>
    <row r="987" spans="1:24">
      <c r="A987">
        <v>13529</v>
      </c>
      <c r="B987" t="s">
        <v>25</v>
      </c>
      <c r="C987" t="str">
        <f t="shared" si="31"/>
        <v>INTEGRA Saloon</v>
      </c>
      <c r="D987" t="str">
        <f t="shared" si="30"/>
        <v>1.6</v>
      </c>
      <c r="E987" t="s">
        <v>26</v>
      </c>
      <c r="F987">
        <v>198501</v>
      </c>
      <c r="G987">
        <v>199012</v>
      </c>
      <c r="H987">
        <v>74</v>
      </c>
      <c r="I987">
        <v>100</v>
      </c>
      <c r="J987">
        <v>1590</v>
      </c>
      <c r="K987">
        <v>3362438</v>
      </c>
      <c r="L987" t="s">
        <v>274</v>
      </c>
      <c r="M987" t="str">
        <f>"120349"</f>
        <v>120349</v>
      </c>
      <c r="N987" t="str">
        <f>"12-0349"</f>
        <v>12-0349</v>
      </c>
      <c r="O987" t="str">
        <f>"20104"</f>
        <v>20104</v>
      </c>
      <c r="P987" t="s">
        <v>664</v>
      </c>
      <c r="Q987" t="str">
        <f>""</f>
        <v/>
      </c>
      <c r="R987" t="s">
        <v>834</v>
      </c>
      <c r="T987" s="1" t="s">
        <v>835</v>
      </c>
      <c r="U987">
        <v>402</v>
      </c>
      <c r="V987" t="s">
        <v>664</v>
      </c>
      <c r="W987" t="s">
        <v>668</v>
      </c>
      <c r="X987" t="s">
        <v>224</v>
      </c>
    </row>
    <row r="988" spans="1:24">
      <c r="A988">
        <v>13529</v>
      </c>
      <c r="B988" t="s">
        <v>25</v>
      </c>
      <c r="C988" t="str">
        <f t="shared" si="31"/>
        <v>INTEGRA Saloon</v>
      </c>
      <c r="D988" t="str">
        <f t="shared" si="30"/>
        <v>1.6</v>
      </c>
      <c r="E988" t="s">
        <v>26</v>
      </c>
      <c r="F988">
        <v>198501</v>
      </c>
      <c r="G988">
        <v>199012</v>
      </c>
      <c r="H988">
        <v>74</v>
      </c>
      <c r="I988">
        <v>100</v>
      </c>
      <c r="J988">
        <v>1590</v>
      </c>
      <c r="K988">
        <v>3362460</v>
      </c>
      <c r="L988" t="s">
        <v>274</v>
      </c>
      <c r="M988" t="str">
        <f>"120371"</f>
        <v>120371</v>
      </c>
      <c r="N988" t="str">
        <f>"12-0371"</f>
        <v>12-0371</v>
      </c>
      <c r="O988" t="str">
        <f>"20067"</f>
        <v>20067</v>
      </c>
      <c r="P988" t="s">
        <v>664</v>
      </c>
      <c r="Q988" t="str">
        <f>""</f>
        <v/>
      </c>
      <c r="R988" t="s">
        <v>836</v>
      </c>
      <c r="T988" s="1" t="s">
        <v>837</v>
      </c>
      <c r="U988">
        <v>402</v>
      </c>
      <c r="V988" t="s">
        <v>664</v>
      </c>
      <c r="W988" t="s">
        <v>668</v>
      </c>
      <c r="X988" t="s">
        <v>224</v>
      </c>
    </row>
    <row r="989" spans="1:24">
      <c r="A989">
        <v>13529</v>
      </c>
      <c r="B989" t="s">
        <v>25</v>
      </c>
      <c r="C989" t="str">
        <f t="shared" si="31"/>
        <v>INTEGRA Saloon</v>
      </c>
      <c r="D989" t="str">
        <f t="shared" si="30"/>
        <v>1.6</v>
      </c>
      <c r="E989" t="s">
        <v>26</v>
      </c>
      <c r="F989">
        <v>198501</v>
      </c>
      <c r="G989">
        <v>199012</v>
      </c>
      <c r="H989">
        <v>74</v>
      </c>
      <c r="I989">
        <v>100</v>
      </c>
      <c r="J989">
        <v>1590</v>
      </c>
      <c r="K989">
        <v>3362484</v>
      </c>
      <c r="L989" t="s">
        <v>274</v>
      </c>
      <c r="M989" t="str">
        <f>"120396"</f>
        <v>120396</v>
      </c>
      <c r="N989" t="str">
        <f>"12-0396"</f>
        <v>12-0396</v>
      </c>
      <c r="O989" t="str">
        <f>"21312"</f>
        <v>21312</v>
      </c>
      <c r="P989" t="s">
        <v>664</v>
      </c>
      <c r="Q989" t="str">
        <f>""</f>
        <v/>
      </c>
      <c r="R989" t="s">
        <v>838</v>
      </c>
      <c r="T989" s="1" t="s">
        <v>839</v>
      </c>
      <c r="U989">
        <v>402</v>
      </c>
      <c r="V989" t="s">
        <v>664</v>
      </c>
      <c r="W989" t="s">
        <v>668</v>
      </c>
      <c r="X989" t="s">
        <v>224</v>
      </c>
    </row>
    <row r="990" spans="1:24">
      <c r="A990">
        <v>13529</v>
      </c>
      <c r="B990" t="s">
        <v>25</v>
      </c>
      <c r="C990" t="str">
        <f t="shared" si="31"/>
        <v>INTEGRA Saloon</v>
      </c>
      <c r="D990" t="str">
        <f t="shared" si="30"/>
        <v>1.6</v>
      </c>
      <c r="E990" t="s">
        <v>26</v>
      </c>
      <c r="F990">
        <v>198501</v>
      </c>
      <c r="G990">
        <v>199012</v>
      </c>
      <c r="H990">
        <v>74</v>
      </c>
      <c r="I990">
        <v>100</v>
      </c>
      <c r="J990">
        <v>1590</v>
      </c>
      <c r="K990">
        <v>3362566</v>
      </c>
      <c r="L990" t="s">
        <v>274</v>
      </c>
      <c r="M990" t="str">
        <f>"120479"</f>
        <v>120479</v>
      </c>
      <c r="N990" t="str">
        <f>"12-0479"</f>
        <v>12-0479</v>
      </c>
      <c r="O990" t="str">
        <f>"21323"</f>
        <v>21323</v>
      </c>
      <c r="P990" t="s">
        <v>664</v>
      </c>
      <c r="Q990" t="str">
        <f>""</f>
        <v/>
      </c>
      <c r="R990" t="s">
        <v>840</v>
      </c>
      <c r="T990" s="1" t="s">
        <v>841</v>
      </c>
      <c r="U990">
        <v>402</v>
      </c>
      <c r="V990" t="s">
        <v>664</v>
      </c>
      <c r="W990" t="s">
        <v>668</v>
      </c>
      <c r="X990" t="s">
        <v>224</v>
      </c>
    </row>
    <row r="991" spans="1:24">
      <c r="A991">
        <v>13529</v>
      </c>
      <c r="B991" t="s">
        <v>25</v>
      </c>
      <c r="C991" t="str">
        <f t="shared" si="31"/>
        <v>INTEGRA Saloon</v>
      </c>
      <c r="D991" t="str">
        <f t="shared" si="30"/>
        <v>1.6</v>
      </c>
      <c r="E991" t="s">
        <v>26</v>
      </c>
      <c r="F991">
        <v>198501</v>
      </c>
      <c r="G991">
        <v>199012</v>
      </c>
      <c r="H991">
        <v>74</v>
      </c>
      <c r="I991">
        <v>100</v>
      </c>
      <c r="J991">
        <v>1590</v>
      </c>
      <c r="K991">
        <v>3362567</v>
      </c>
      <c r="L991" t="s">
        <v>274</v>
      </c>
      <c r="M991" t="str">
        <f>"120480"</f>
        <v>120480</v>
      </c>
      <c r="N991" t="str">
        <f>"12-0480"</f>
        <v>12-0480</v>
      </c>
      <c r="O991" t="str">
        <f>"21446"</f>
        <v>21446</v>
      </c>
      <c r="P991" t="s">
        <v>664</v>
      </c>
      <c r="Q991" t="str">
        <f>""</f>
        <v/>
      </c>
      <c r="R991" t="s">
        <v>842</v>
      </c>
      <c r="T991" s="1" t="s">
        <v>843</v>
      </c>
      <c r="U991">
        <v>402</v>
      </c>
      <c r="V991" t="s">
        <v>664</v>
      </c>
      <c r="W991" t="s">
        <v>668</v>
      </c>
      <c r="X991" t="s">
        <v>224</v>
      </c>
    </row>
    <row r="992" spans="1:24">
      <c r="A992">
        <v>13529</v>
      </c>
      <c r="B992" t="s">
        <v>25</v>
      </c>
      <c r="C992" t="str">
        <f t="shared" si="31"/>
        <v>INTEGRA Saloon</v>
      </c>
      <c r="D992" t="str">
        <f t="shared" si="30"/>
        <v>1.6</v>
      </c>
      <c r="E992" t="s">
        <v>26</v>
      </c>
      <c r="F992">
        <v>198501</v>
      </c>
      <c r="G992">
        <v>199012</v>
      </c>
      <c r="H992">
        <v>74</v>
      </c>
      <c r="I992">
        <v>100</v>
      </c>
      <c r="J992">
        <v>1590</v>
      </c>
      <c r="K992">
        <v>3368766</v>
      </c>
      <c r="L992" t="s">
        <v>248</v>
      </c>
      <c r="M992" t="str">
        <f>"8221701"</f>
        <v>8221701</v>
      </c>
      <c r="N992" t="str">
        <f>"822-170-1"</f>
        <v>822-170-1</v>
      </c>
      <c r="O992" t="str">
        <f>""</f>
        <v/>
      </c>
      <c r="P992" t="s">
        <v>664</v>
      </c>
      <c r="Q992" t="str">
        <f>""</f>
        <v/>
      </c>
      <c r="R992" t="s">
        <v>674</v>
      </c>
      <c r="S992" t="s">
        <v>675</v>
      </c>
      <c r="T992" s="1" t="s">
        <v>844</v>
      </c>
      <c r="U992">
        <v>402</v>
      </c>
      <c r="V992" t="s">
        <v>664</v>
      </c>
      <c r="W992" t="s">
        <v>668</v>
      </c>
      <c r="X992" t="s">
        <v>224</v>
      </c>
    </row>
    <row r="993" spans="1:24">
      <c r="A993">
        <v>13529</v>
      </c>
      <c r="B993" t="s">
        <v>25</v>
      </c>
      <c r="C993" t="str">
        <f t="shared" si="31"/>
        <v>INTEGRA Saloon</v>
      </c>
      <c r="D993" t="str">
        <f t="shared" si="30"/>
        <v>1.6</v>
      </c>
      <c r="E993" t="s">
        <v>26</v>
      </c>
      <c r="F993">
        <v>198501</v>
      </c>
      <c r="G993">
        <v>199012</v>
      </c>
      <c r="H993">
        <v>74</v>
      </c>
      <c r="I993">
        <v>100</v>
      </c>
      <c r="J993">
        <v>1590</v>
      </c>
      <c r="K993">
        <v>3368767</v>
      </c>
      <c r="L993" t="s">
        <v>248</v>
      </c>
      <c r="M993" t="str">
        <f>"8221710"</f>
        <v>8221710</v>
      </c>
      <c r="N993" t="str">
        <f>"822-171-0"</f>
        <v>822-171-0</v>
      </c>
      <c r="O993" t="str">
        <f>""</f>
        <v/>
      </c>
      <c r="P993" t="s">
        <v>664</v>
      </c>
      <c r="Q993" t="str">
        <f>""</f>
        <v/>
      </c>
      <c r="R993" t="s">
        <v>677</v>
      </c>
      <c r="S993" t="s">
        <v>678</v>
      </c>
      <c r="T993" s="1" t="s">
        <v>845</v>
      </c>
      <c r="U993">
        <v>402</v>
      </c>
      <c r="V993" t="s">
        <v>664</v>
      </c>
      <c r="W993" t="s">
        <v>668</v>
      </c>
      <c r="X993" t="s">
        <v>224</v>
      </c>
    </row>
    <row r="994" spans="1:24">
      <c r="A994">
        <v>13529</v>
      </c>
      <c r="B994" t="s">
        <v>25</v>
      </c>
      <c r="C994" t="str">
        <f t="shared" si="31"/>
        <v>INTEGRA Saloon</v>
      </c>
      <c r="D994" t="str">
        <f t="shared" si="30"/>
        <v>1.6</v>
      </c>
      <c r="E994" t="s">
        <v>26</v>
      </c>
      <c r="F994">
        <v>198501</v>
      </c>
      <c r="G994">
        <v>199012</v>
      </c>
      <c r="H994">
        <v>74</v>
      </c>
      <c r="I994">
        <v>100</v>
      </c>
      <c r="J994">
        <v>1590</v>
      </c>
      <c r="K994">
        <v>3368892</v>
      </c>
      <c r="L994" t="s">
        <v>248</v>
      </c>
      <c r="M994" t="str">
        <f>"8222371"</f>
        <v>8222371</v>
      </c>
      <c r="N994" t="str">
        <f>"822-237-1"</f>
        <v>822-237-1</v>
      </c>
      <c r="O994" t="str">
        <f>""</f>
        <v/>
      </c>
      <c r="P994" t="s">
        <v>664</v>
      </c>
      <c r="Q994" t="str">
        <f>""</f>
        <v/>
      </c>
      <c r="R994" t="s">
        <v>680</v>
      </c>
      <c r="S994" t="s">
        <v>681</v>
      </c>
      <c r="T994" s="1" t="s">
        <v>846</v>
      </c>
      <c r="U994">
        <v>402</v>
      </c>
      <c r="V994" t="s">
        <v>664</v>
      </c>
      <c r="W994" t="s">
        <v>668</v>
      </c>
      <c r="X994" t="s">
        <v>224</v>
      </c>
    </row>
    <row r="995" spans="1:24">
      <c r="A995">
        <v>13529</v>
      </c>
      <c r="B995" t="s">
        <v>25</v>
      </c>
      <c r="C995" t="str">
        <f t="shared" si="31"/>
        <v>INTEGRA Saloon</v>
      </c>
      <c r="D995" t="str">
        <f t="shared" si="30"/>
        <v>1.6</v>
      </c>
      <c r="E995" t="s">
        <v>26</v>
      </c>
      <c r="F995">
        <v>198501</v>
      </c>
      <c r="G995">
        <v>199012</v>
      </c>
      <c r="H995">
        <v>74</v>
      </c>
      <c r="I995">
        <v>100</v>
      </c>
      <c r="J995">
        <v>1590</v>
      </c>
      <c r="K995">
        <v>3658278</v>
      </c>
      <c r="L995" t="s">
        <v>410</v>
      </c>
      <c r="M995" t="str">
        <f>"P328302"</f>
        <v>P328302</v>
      </c>
      <c r="N995" t="str">
        <f>"P3283.02"</f>
        <v>P3283.02</v>
      </c>
      <c r="O995" t="str">
        <f>"PSA328302"</f>
        <v>PSA328302</v>
      </c>
      <c r="P995" t="s">
        <v>664</v>
      </c>
      <c r="Q995" t="str">
        <f>"8427975255747"</f>
        <v>8427975255747</v>
      </c>
      <c r="R995" t="s">
        <v>774</v>
      </c>
      <c r="T995" s="1" t="s">
        <v>847</v>
      </c>
      <c r="U995">
        <v>402</v>
      </c>
      <c r="V995" t="s">
        <v>664</v>
      </c>
      <c r="W995" t="s">
        <v>668</v>
      </c>
      <c r="X995" t="s">
        <v>224</v>
      </c>
    </row>
    <row r="996" spans="1:24">
      <c r="A996">
        <v>13529</v>
      </c>
      <c r="B996" t="s">
        <v>25</v>
      </c>
      <c r="C996" t="str">
        <f t="shared" si="31"/>
        <v>INTEGRA Saloon</v>
      </c>
      <c r="D996" t="str">
        <f t="shared" si="30"/>
        <v>1.6</v>
      </c>
      <c r="E996" t="s">
        <v>26</v>
      </c>
      <c r="F996">
        <v>198501</v>
      </c>
      <c r="G996">
        <v>199012</v>
      </c>
      <c r="H996">
        <v>74</v>
      </c>
      <c r="I996">
        <v>100</v>
      </c>
      <c r="J996">
        <v>1590</v>
      </c>
      <c r="K996">
        <v>3658286</v>
      </c>
      <c r="L996" t="s">
        <v>410</v>
      </c>
      <c r="M996" t="str">
        <f>"P333320"</f>
        <v>P333320</v>
      </c>
      <c r="N996" t="str">
        <f>"P3333.20"</f>
        <v>P3333.20</v>
      </c>
      <c r="O996" t="str">
        <f>"PSA333320"</f>
        <v>PSA333320</v>
      </c>
      <c r="P996" t="s">
        <v>664</v>
      </c>
      <c r="Q996" t="str">
        <f>"8427975255839"</f>
        <v>8427975255839</v>
      </c>
      <c r="R996" s="1" t="s">
        <v>776</v>
      </c>
      <c r="T996" s="1" t="s">
        <v>848</v>
      </c>
      <c r="U996">
        <v>402</v>
      </c>
      <c r="V996" t="s">
        <v>664</v>
      </c>
      <c r="W996" t="s">
        <v>668</v>
      </c>
      <c r="X996" t="s">
        <v>224</v>
      </c>
    </row>
    <row r="997" spans="1:24">
      <c r="A997">
        <v>13529</v>
      </c>
      <c r="B997" t="s">
        <v>25</v>
      </c>
      <c r="C997" t="str">
        <f t="shared" si="31"/>
        <v>INTEGRA Saloon</v>
      </c>
      <c r="D997" t="str">
        <f t="shared" si="30"/>
        <v>1.6</v>
      </c>
      <c r="E997" t="s">
        <v>26</v>
      </c>
      <c r="F997">
        <v>198501</v>
      </c>
      <c r="G997">
        <v>199012</v>
      </c>
      <c r="H997">
        <v>74</v>
      </c>
      <c r="I997">
        <v>100</v>
      </c>
      <c r="J997">
        <v>1590</v>
      </c>
      <c r="K997">
        <v>3658826</v>
      </c>
      <c r="L997" t="s">
        <v>410</v>
      </c>
      <c r="M997" t="str">
        <f>"P746310"</f>
        <v>P746310</v>
      </c>
      <c r="N997" t="str">
        <f>"P7463.10"</f>
        <v>P7463.10</v>
      </c>
      <c r="O997" t="str">
        <f>"PSA746310"</f>
        <v>PSA746310</v>
      </c>
      <c r="P997" t="s">
        <v>664</v>
      </c>
      <c r="Q997" t="str">
        <f>"8427975262202"</f>
        <v>8427975262202</v>
      </c>
      <c r="R997" s="1" t="s">
        <v>778</v>
      </c>
      <c r="T997" s="1" t="s">
        <v>849</v>
      </c>
      <c r="U997">
        <v>402</v>
      </c>
      <c r="V997" t="s">
        <v>664</v>
      </c>
      <c r="W997" t="s">
        <v>668</v>
      </c>
      <c r="X997" t="s">
        <v>224</v>
      </c>
    </row>
    <row r="998" spans="1:24">
      <c r="A998">
        <v>13529</v>
      </c>
      <c r="B998" t="s">
        <v>25</v>
      </c>
      <c r="C998" t="str">
        <f t="shared" si="31"/>
        <v>INTEGRA Saloon</v>
      </c>
      <c r="D998" t="str">
        <f t="shared" si="30"/>
        <v>1.6</v>
      </c>
      <c r="E998" t="s">
        <v>26</v>
      </c>
      <c r="F998">
        <v>198501</v>
      </c>
      <c r="G998">
        <v>199012</v>
      </c>
      <c r="H998">
        <v>74</v>
      </c>
      <c r="I998">
        <v>100</v>
      </c>
      <c r="J998">
        <v>1590</v>
      </c>
      <c r="K998">
        <v>3712150</v>
      </c>
      <c r="L998" t="s">
        <v>412</v>
      </c>
      <c r="M998" t="str">
        <f>"PA463"</f>
        <v>PA463</v>
      </c>
      <c r="N998" t="str">
        <f>"PA463"</f>
        <v>PA463</v>
      </c>
      <c r="O998" t="str">
        <f>"20099"</f>
        <v>20099</v>
      </c>
      <c r="P998" t="s">
        <v>664</v>
      </c>
      <c r="Q998" t="str">
        <f>"5050590452852"</f>
        <v>5050590452852</v>
      </c>
      <c r="R998" t="s">
        <v>797</v>
      </c>
      <c r="S998" t="s">
        <v>316</v>
      </c>
      <c r="T998" s="1" t="s">
        <v>850</v>
      </c>
      <c r="U998">
        <v>402</v>
      </c>
      <c r="V998" t="s">
        <v>664</v>
      </c>
      <c r="W998" t="s">
        <v>668</v>
      </c>
      <c r="X998" t="s">
        <v>224</v>
      </c>
    </row>
    <row r="999" spans="1:24">
      <c r="A999">
        <v>13529</v>
      </c>
      <c r="B999" t="s">
        <v>25</v>
      </c>
      <c r="C999" t="str">
        <f t="shared" si="31"/>
        <v>INTEGRA Saloon</v>
      </c>
      <c r="D999" t="str">
        <f t="shared" si="30"/>
        <v>1.6</v>
      </c>
      <c r="E999" t="s">
        <v>26</v>
      </c>
      <c r="F999">
        <v>198501</v>
      </c>
      <c r="G999">
        <v>199012</v>
      </c>
      <c r="H999">
        <v>74</v>
      </c>
      <c r="I999">
        <v>100</v>
      </c>
      <c r="J999">
        <v>1590</v>
      </c>
      <c r="K999">
        <v>3712206</v>
      </c>
      <c r="L999" t="s">
        <v>412</v>
      </c>
      <c r="M999" t="str">
        <f>"PA545"</f>
        <v>PA545</v>
      </c>
      <c r="N999" t="str">
        <f>"PA545"</f>
        <v>PA545</v>
      </c>
      <c r="O999" t="str">
        <f>"21312"</f>
        <v>21312</v>
      </c>
      <c r="P999" t="s">
        <v>664</v>
      </c>
      <c r="Q999" t="str">
        <f>"5050590453668"</f>
        <v>5050590453668</v>
      </c>
      <c r="R999" t="s">
        <v>851</v>
      </c>
      <c r="S999" t="s">
        <v>675</v>
      </c>
      <c r="T999" s="1" t="s">
        <v>852</v>
      </c>
      <c r="U999">
        <v>402</v>
      </c>
      <c r="V999" t="s">
        <v>664</v>
      </c>
      <c r="W999" t="s">
        <v>668</v>
      </c>
      <c r="X999" t="s">
        <v>224</v>
      </c>
    </row>
    <row r="1000" spans="1:24">
      <c r="A1000">
        <v>13529</v>
      </c>
      <c r="B1000" t="s">
        <v>25</v>
      </c>
      <c r="C1000" t="str">
        <f t="shared" si="31"/>
        <v>INTEGRA Saloon</v>
      </c>
      <c r="D1000" t="str">
        <f t="shared" si="30"/>
        <v>1.6</v>
      </c>
      <c r="E1000" t="s">
        <v>26</v>
      </c>
      <c r="F1000">
        <v>198501</v>
      </c>
      <c r="G1000">
        <v>199012</v>
      </c>
      <c r="H1000">
        <v>74</v>
      </c>
      <c r="I1000">
        <v>100</v>
      </c>
      <c r="J1000">
        <v>1590</v>
      </c>
      <c r="K1000">
        <v>3712247</v>
      </c>
      <c r="L1000" t="s">
        <v>412</v>
      </c>
      <c r="M1000" t="str">
        <f>"PA737"</f>
        <v>PA737</v>
      </c>
      <c r="N1000" t="str">
        <f>"PA737"</f>
        <v>PA737</v>
      </c>
      <c r="O1000" t="str">
        <f>"21446"</f>
        <v>21446</v>
      </c>
      <c r="P1000" t="s">
        <v>664</v>
      </c>
      <c r="Q1000" t="str">
        <f>"5050590455242"</f>
        <v>5050590455242</v>
      </c>
      <c r="R1000" t="s">
        <v>853</v>
      </c>
      <c r="S1000" t="s">
        <v>678</v>
      </c>
      <c r="T1000" s="1" t="s">
        <v>854</v>
      </c>
      <c r="U1000">
        <v>402</v>
      </c>
      <c r="V1000" t="s">
        <v>664</v>
      </c>
      <c r="W1000" t="s">
        <v>668</v>
      </c>
      <c r="X1000" t="s">
        <v>224</v>
      </c>
    </row>
    <row r="1001" spans="1:24">
      <c r="A1001">
        <v>13529</v>
      </c>
      <c r="B1001" t="s">
        <v>25</v>
      </c>
      <c r="C1001" t="str">
        <f t="shared" si="31"/>
        <v>INTEGRA Saloon</v>
      </c>
      <c r="D1001" t="str">
        <f t="shared" si="30"/>
        <v>1.6</v>
      </c>
      <c r="E1001" t="s">
        <v>26</v>
      </c>
      <c r="F1001">
        <v>198501</v>
      </c>
      <c r="G1001">
        <v>199012</v>
      </c>
      <c r="H1001">
        <v>74</v>
      </c>
      <c r="I1001">
        <v>100</v>
      </c>
      <c r="J1001">
        <v>1590</v>
      </c>
      <c r="K1001">
        <v>3751363</v>
      </c>
      <c r="L1001" t="s">
        <v>855</v>
      </c>
      <c r="M1001" t="str">
        <f>"4530"</f>
        <v>4530</v>
      </c>
      <c r="N1001" t="str">
        <f>"453.0"</f>
        <v>453.0</v>
      </c>
      <c r="O1001" t="str">
        <f>"21312"</f>
        <v>21312</v>
      </c>
      <c r="P1001" t="s">
        <v>664</v>
      </c>
      <c r="Q1001" t="str">
        <f>""</f>
        <v/>
      </c>
      <c r="R1001" t="s">
        <v>856</v>
      </c>
      <c r="T1001" s="1" t="s">
        <v>1405</v>
      </c>
      <c r="U1001">
        <v>402</v>
      </c>
      <c r="V1001" t="s">
        <v>664</v>
      </c>
      <c r="W1001" t="s">
        <v>668</v>
      </c>
      <c r="X1001" t="s">
        <v>224</v>
      </c>
    </row>
    <row r="1002" spans="1:24">
      <c r="A1002">
        <v>13529</v>
      </c>
      <c r="B1002" t="s">
        <v>25</v>
      </c>
      <c r="C1002" t="str">
        <f t="shared" si="31"/>
        <v>INTEGRA Saloon</v>
      </c>
      <c r="D1002" t="str">
        <f t="shared" ref="D1002:D1065" si="32">"1.6"</f>
        <v>1.6</v>
      </c>
      <c r="E1002" t="s">
        <v>26</v>
      </c>
      <c r="F1002">
        <v>198501</v>
      </c>
      <c r="G1002">
        <v>199012</v>
      </c>
      <c r="H1002">
        <v>74</v>
      </c>
      <c r="I1002">
        <v>100</v>
      </c>
      <c r="J1002">
        <v>1590</v>
      </c>
      <c r="K1002">
        <v>3752703</v>
      </c>
      <c r="L1002" t="s">
        <v>855</v>
      </c>
      <c r="M1002" t="str">
        <f>"RA04530"</f>
        <v>RA04530</v>
      </c>
      <c r="N1002" t="str">
        <f>"RA.0453.0"</f>
        <v>RA.0453.0</v>
      </c>
      <c r="O1002" t="str">
        <f>"21312"</f>
        <v>21312</v>
      </c>
      <c r="P1002" t="s">
        <v>664</v>
      </c>
      <c r="Q1002" t="str">
        <f>""</f>
        <v/>
      </c>
      <c r="R1002" t="s">
        <v>858</v>
      </c>
      <c r="T1002" s="1" t="s">
        <v>857</v>
      </c>
      <c r="U1002">
        <v>402</v>
      </c>
      <c r="V1002" t="s">
        <v>664</v>
      </c>
      <c r="W1002" t="s">
        <v>668</v>
      </c>
      <c r="X1002" t="s">
        <v>224</v>
      </c>
    </row>
    <row r="1003" spans="1:24">
      <c r="A1003">
        <v>13529</v>
      </c>
      <c r="B1003" t="s">
        <v>25</v>
      </c>
      <c r="C1003" t="str">
        <f t="shared" si="31"/>
        <v>INTEGRA Saloon</v>
      </c>
      <c r="D1003" t="str">
        <f t="shared" si="32"/>
        <v>1.6</v>
      </c>
      <c r="E1003" t="s">
        <v>26</v>
      </c>
      <c r="F1003">
        <v>198501</v>
      </c>
      <c r="G1003">
        <v>199012</v>
      </c>
      <c r="H1003">
        <v>74</v>
      </c>
      <c r="I1003">
        <v>100</v>
      </c>
      <c r="J1003">
        <v>1590</v>
      </c>
      <c r="K1003">
        <v>3836540</v>
      </c>
      <c r="L1003" t="s">
        <v>419</v>
      </c>
      <c r="M1003" t="str">
        <f>"ADB0242"</f>
        <v>ADB0242</v>
      </c>
      <c r="N1003" t="str">
        <f>"ADB0242"</f>
        <v>ADB0242</v>
      </c>
      <c r="O1003" t="str">
        <f>"2131212.5"</f>
        <v>2131212.5</v>
      </c>
      <c r="P1003" t="s">
        <v>664</v>
      </c>
      <c r="Q1003" t="str">
        <f>""</f>
        <v/>
      </c>
      <c r="R1003" t="s">
        <v>859</v>
      </c>
      <c r="T1003" s="1" t="s">
        <v>860</v>
      </c>
      <c r="U1003">
        <v>402</v>
      </c>
      <c r="V1003" t="s">
        <v>664</v>
      </c>
      <c r="W1003" t="s">
        <v>668</v>
      </c>
      <c r="X1003" t="s">
        <v>224</v>
      </c>
    </row>
    <row r="1004" spans="1:24">
      <c r="A1004">
        <v>13529</v>
      </c>
      <c r="B1004" t="s">
        <v>25</v>
      </c>
      <c r="C1004" t="str">
        <f t="shared" si="31"/>
        <v>INTEGRA Saloon</v>
      </c>
      <c r="D1004" t="str">
        <f t="shared" si="32"/>
        <v>1.6</v>
      </c>
      <c r="E1004" t="s">
        <v>26</v>
      </c>
      <c r="F1004">
        <v>198501</v>
      </c>
      <c r="G1004">
        <v>199012</v>
      </c>
      <c r="H1004">
        <v>74</v>
      </c>
      <c r="I1004">
        <v>100</v>
      </c>
      <c r="J1004">
        <v>1590</v>
      </c>
      <c r="K1004">
        <v>3836611</v>
      </c>
      <c r="L1004" t="s">
        <v>419</v>
      </c>
      <c r="M1004" t="str">
        <f>"ADB0460"</f>
        <v>ADB0460</v>
      </c>
      <c r="N1004" t="str">
        <f>"ADB0460"</f>
        <v>ADB0460</v>
      </c>
      <c r="O1004" t="str">
        <f>"21312"</f>
        <v>21312</v>
      </c>
      <c r="P1004" t="s">
        <v>664</v>
      </c>
      <c r="Q1004" t="str">
        <f>""</f>
        <v/>
      </c>
      <c r="R1004" t="s">
        <v>859</v>
      </c>
      <c r="T1004" s="1" t="s">
        <v>861</v>
      </c>
      <c r="U1004">
        <v>402</v>
      </c>
      <c r="V1004" t="s">
        <v>664</v>
      </c>
      <c r="W1004" t="s">
        <v>668</v>
      </c>
      <c r="X1004" t="s">
        <v>224</v>
      </c>
    </row>
    <row r="1005" spans="1:24">
      <c r="A1005">
        <v>13529</v>
      </c>
      <c r="B1005" t="s">
        <v>25</v>
      </c>
      <c r="C1005" t="str">
        <f t="shared" si="31"/>
        <v>INTEGRA Saloon</v>
      </c>
      <c r="D1005" t="str">
        <f t="shared" si="32"/>
        <v>1.6</v>
      </c>
      <c r="E1005" t="s">
        <v>26</v>
      </c>
      <c r="F1005">
        <v>198501</v>
      </c>
      <c r="G1005">
        <v>199012</v>
      </c>
      <c r="H1005">
        <v>74</v>
      </c>
      <c r="I1005">
        <v>100</v>
      </c>
      <c r="J1005">
        <v>1590</v>
      </c>
      <c r="K1005">
        <v>3837193</v>
      </c>
      <c r="L1005" t="s">
        <v>419</v>
      </c>
      <c r="M1005" t="str">
        <f>"ADB3242"</f>
        <v>ADB3242</v>
      </c>
      <c r="N1005" t="str">
        <f>"ADB3242"</f>
        <v>ADB3242</v>
      </c>
      <c r="O1005" t="str">
        <f>"21312, 21313, 21314"</f>
        <v>21312, 21313, 21314</v>
      </c>
      <c r="P1005" t="s">
        <v>664</v>
      </c>
      <c r="Q1005" t="str">
        <f>""</f>
        <v/>
      </c>
      <c r="R1005" t="s">
        <v>862</v>
      </c>
      <c r="T1005" s="1" t="s">
        <v>863</v>
      </c>
      <c r="U1005">
        <v>402</v>
      </c>
      <c r="V1005" t="s">
        <v>664</v>
      </c>
      <c r="W1005" t="s">
        <v>668</v>
      </c>
      <c r="X1005" t="s">
        <v>224</v>
      </c>
    </row>
    <row r="1006" spans="1:24">
      <c r="A1006">
        <v>13529</v>
      </c>
      <c r="B1006" t="s">
        <v>25</v>
      </c>
      <c r="C1006" t="str">
        <f t="shared" si="31"/>
        <v>INTEGRA Saloon</v>
      </c>
      <c r="D1006" t="str">
        <f t="shared" si="32"/>
        <v>1.6</v>
      </c>
      <c r="E1006" t="s">
        <v>26</v>
      </c>
      <c r="F1006">
        <v>198501</v>
      </c>
      <c r="G1006">
        <v>199012</v>
      </c>
      <c r="H1006">
        <v>74</v>
      </c>
      <c r="I1006">
        <v>100</v>
      </c>
      <c r="J1006">
        <v>1590</v>
      </c>
      <c r="K1006">
        <v>3839349</v>
      </c>
      <c r="L1006" t="s">
        <v>419</v>
      </c>
      <c r="M1006" t="str">
        <f>"CBP0242"</f>
        <v>CBP0242</v>
      </c>
      <c r="N1006" t="str">
        <f>"CBP0242"</f>
        <v>CBP0242</v>
      </c>
      <c r="O1006" t="str">
        <f>"2131212.5"</f>
        <v>2131212.5</v>
      </c>
      <c r="P1006" t="s">
        <v>664</v>
      </c>
      <c r="Q1006" t="str">
        <f>""</f>
        <v/>
      </c>
      <c r="R1006" t="s">
        <v>859</v>
      </c>
      <c r="T1006" s="1" t="s">
        <v>864</v>
      </c>
      <c r="U1006">
        <v>402</v>
      </c>
      <c r="V1006" t="s">
        <v>664</v>
      </c>
      <c r="W1006" t="s">
        <v>668</v>
      </c>
      <c r="X1006" t="s">
        <v>224</v>
      </c>
    </row>
    <row r="1007" spans="1:24">
      <c r="A1007">
        <v>13529</v>
      </c>
      <c r="B1007" t="s">
        <v>25</v>
      </c>
      <c r="C1007" t="str">
        <f t="shared" si="31"/>
        <v>INTEGRA Saloon</v>
      </c>
      <c r="D1007" t="str">
        <f t="shared" si="32"/>
        <v>1.6</v>
      </c>
      <c r="E1007" t="s">
        <v>26</v>
      </c>
      <c r="F1007">
        <v>198501</v>
      </c>
      <c r="G1007">
        <v>199012</v>
      </c>
      <c r="H1007">
        <v>74</v>
      </c>
      <c r="I1007">
        <v>100</v>
      </c>
      <c r="J1007">
        <v>1590</v>
      </c>
      <c r="K1007">
        <v>3839420</v>
      </c>
      <c r="L1007" t="s">
        <v>419</v>
      </c>
      <c r="M1007" t="str">
        <f>"CBP0460"</f>
        <v>CBP0460</v>
      </c>
      <c r="N1007" t="str">
        <f>"CBP0460"</f>
        <v>CBP0460</v>
      </c>
      <c r="O1007" t="str">
        <f>"21312"</f>
        <v>21312</v>
      </c>
      <c r="P1007" t="s">
        <v>664</v>
      </c>
      <c r="Q1007" t="str">
        <f>""</f>
        <v/>
      </c>
      <c r="R1007" t="s">
        <v>859</v>
      </c>
      <c r="T1007" s="1" t="s">
        <v>865</v>
      </c>
      <c r="U1007">
        <v>402</v>
      </c>
      <c r="V1007" t="s">
        <v>664</v>
      </c>
      <c r="W1007" t="s">
        <v>668</v>
      </c>
      <c r="X1007" t="s">
        <v>224</v>
      </c>
    </row>
    <row r="1008" spans="1:24">
      <c r="A1008">
        <v>13529</v>
      </c>
      <c r="B1008" t="s">
        <v>25</v>
      </c>
      <c r="C1008" t="str">
        <f t="shared" si="31"/>
        <v>INTEGRA Saloon</v>
      </c>
      <c r="D1008" t="str">
        <f t="shared" si="32"/>
        <v>1.6</v>
      </c>
      <c r="E1008" t="s">
        <v>26</v>
      </c>
      <c r="F1008">
        <v>198501</v>
      </c>
      <c r="G1008">
        <v>199012</v>
      </c>
      <c r="H1008">
        <v>74</v>
      </c>
      <c r="I1008">
        <v>100</v>
      </c>
      <c r="J1008">
        <v>1590</v>
      </c>
      <c r="K1008">
        <v>3840001</v>
      </c>
      <c r="L1008" t="s">
        <v>419</v>
      </c>
      <c r="M1008" t="str">
        <f>"CBP3242"</f>
        <v>CBP3242</v>
      </c>
      <c r="N1008" t="str">
        <f>"CBP3242"</f>
        <v>CBP3242</v>
      </c>
      <c r="O1008" t="str">
        <f>"21312, 21313, 21314"</f>
        <v>21312, 21313, 21314</v>
      </c>
      <c r="P1008" t="s">
        <v>664</v>
      </c>
      <c r="Q1008" t="str">
        <f>""</f>
        <v/>
      </c>
      <c r="R1008" t="s">
        <v>862</v>
      </c>
      <c r="T1008" s="1" t="s">
        <v>866</v>
      </c>
      <c r="U1008">
        <v>402</v>
      </c>
      <c r="V1008" t="s">
        <v>664</v>
      </c>
      <c r="W1008" t="s">
        <v>668</v>
      </c>
      <c r="X1008" t="s">
        <v>224</v>
      </c>
    </row>
    <row r="1009" spans="1:24">
      <c r="A1009">
        <v>13529</v>
      </c>
      <c r="B1009" t="s">
        <v>25</v>
      </c>
      <c r="C1009" t="str">
        <f t="shared" si="31"/>
        <v>INTEGRA Saloon</v>
      </c>
      <c r="D1009" t="str">
        <f t="shared" si="32"/>
        <v>1.6</v>
      </c>
      <c r="E1009" t="s">
        <v>26</v>
      </c>
      <c r="F1009">
        <v>198501</v>
      </c>
      <c r="G1009">
        <v>199012</v>
      </c>
      <c r="H1009">
        <v>74</v>
      </c>
      <c r="I1009">
        <v>100</v>
      </c>
      <c r="J1009">
        <v>1590</v>
      </c>
      <c r="K1009">
        <v>3963670</v>
      </c>
      <c r="L1009" t="s">
        <v>27</v>
      </c>
      <c r="M1009" t="str">
        <f>"H02605"</f>
        <v>H02605</v>
      </c>
      <c r="N1009" t="str">
        <f>"H026-05"</f>
        <v>H026-05</v>
      </c>
      <c r="O1009" t="str">
        <f>""</f>
        <v/>
      </c>
      <c r="P1009" t="s">
        <v>664</v>
      </c>
      <c r="Q1009" t="str">
        <f>"8718993205594"</f>
        <v>8718993205594</v>
      </c>
      <c r="R1009" t="s">
        <v>867</v>
      </c>
      <c r="T1009" s="1" t="s">
        <v>868</v>
      </c>
      <c r="U1009">
        <v>402</v>
      </c>
      <c r="V1009" t="s">
        <v>664</v>
      </c>
      <c r="W1009" t="s">
        <v>668</v>
      </c>
      <c r="X1009" t="s">
        <v>224</v>
      </c>
    </row>
    <row r="1010" spans="1:24">
      <c r="A1010">
        <v>13529</v>
      </c>
      <c r="B1010" t="s">
        <v>25</v>
      </c>
      <c r="C1010" t="str">
        <f t="shared" si="31"/>
        <v>INTEGRA Saloon</v>
      </c>
      <c r="D1010" t="str">
        <f t="shared" si="32"/>
        <v>1.6</v>
      </c>
      <c r="E1010" t="s">
        <v>26</v>
      </c>
      <c r="F1010">
        <v>198501</v>
      </c>
      <c r="G1010">
        <v>199012</v>
      </c>
      <c r="H1010">
        <v>74</v>
      </c>
      <c r="I1010">
        <v>100</v>
      </c>
      <c r="J1010">
        <v>1590</v>
      </c>
      <c r="K1010">
        <v>4050085</v>
      </c>
      <c r="L1010" t="s">
        <v>426</v>
      </c>
      <c r="M1010" t="str">
        <f>"6260073"</f>
        <v>6260073</v>
      </c>
      <c r="N1010" t="str">
        <f>"626.0073"</f>
        <v>626.0073</v>
      </c>
      <c r="O1010" t="str">
        <f>"20099"</f>
        <v>20099</v>
      </c>
      <c r="P1010" t="s">
        <v>664</v>
      </c>
      <c r="Q1010" t="str">
        <f>"8432509026441"</f>
        <v>8432509026441</v>
      </c>
      <c r="R1010" t="s">
        <v>869</v>
      </c>
      <c r="S1010" t="s">
        <v>310</v>
      </c>
      <c r="T1010" s="1" t="s">
        <v>870</v>
      </c>
      <c r="U1010">
        <v>402</v>
      </c>
      <c r="V1010" t="s">
        <v>664</v>
      </c>
      <c r="W1010" t="s">
        <v>668</v>
      </c>
      <c r="X1010" t="s">
        <v>224</v>
      </c>
    </row>
    <row r="1011" spans="1:24">
      <c r="A1011">
        <v>13529</v>
      </c>
      <c r="B1011" t="s">
        <v>25</v>
      </c>
      <c r="C1011" t="str">
        <f t="shared" si="31"/>
        <v>INTEGRA Saloon</v>
      </c>
      <c r="D1011" t="str">
        <f t="shared" si="32"/>
        <v>1.6</v>
      </c>
      <c r="E1011" t="s">
        <v>26</v>
      </c>
      <c r="F1011">
        <v>198501</v>
      </c>
      <c r="G1011">
        <v>199012</v>
      </c>
      <c r="H1011">
        <v>74</v>
      </c>
      <c r="I1011">
        <v>100</v>
      </c>
      <c r="J1011">
        <v>1590</v>
      </c>
      <c r="K1011">
        <v>4050354</v>
      </c>
      <c r="L1011" t="s">
        <v>426</v>
      </c>
      <c r="M1011" t="str">
        <f>"6260506"</f>
        <v>6260506</v>
      </c>
      <c r="N1011" t="str">
        <f>"626.0506"</f>
        <v>626.0506</v>
      </c>
      <c r="O1011" t="str">
        <f>"21312"</f>
        <v>21312</v>
      </c>
      <c r="P1011" t="s">
        <v>664</v>
      </c>
      <c r="Q1011" t="str">
        <f>"8432509030196"</f>
        <v>8432509030196</v>
      </c>
      <c r="R1011" t="s">
        <v>871</v>
      </c>
      <c r="S1011" t="s">
        <v>221</v>
      </c>
      <c r="T1011" s="1" t="s">
        <v>872</v>
      </c>
      <c r="U1011">
        <v>402</v>
      </c>
      <c r="V1011" t="s">
        <v>664</v>
      </c>
      <c r="W1011" t="s">
        <v>668</v>
      </c>
      <c r="X1011" t="s">
        <v>224</v>
      </c>
    </row>
    <row r="1012" spans="1:24">
      <c r="A1012">
        <v>13529</v>
      </c>
      <c r="B1012" t="s">
        <v>25</v>
      </c>
      <c r="C1012" t="str">
        <f t="shared" si="31"/>
        <v>INTEGRA Saloon</v>
      </c>
      <c r="D1012" t="str">
        <f t="shared" si="32"/>
        <v>1.6</v>
      </c>
      <c r="E1012" t="s">
        <v>26</v>
      </c>
      <c r="F1012">
        <v>198501</v>
      </c>
      <c r="G1012">
        <v>199012</v>
      </c>
      <c r="H1012">
        <v>74</v>
      </c>
      <c r="I1012">
        <v>100</v>
      </c>
      <c r="J1012">
        <v>1590</v>
      </c>
      <c r="K1012">
        <v>4087208</v>
      </c>
      <c r="L1012" t="s">
        <v>252</v>
      </c>
      <c r="M1012" t="str">
        <f>"4311"</f>
        <v>4311</v>
      </c>
      <c r="N1012" t="str">
        <f>"431.1"</f>
        <v>431.1</v>
      </c>
      <c r="O1012" t="str">
        <f>"21448"</f>
        <v>21448</v>
      </c>
      <c r="P1012" t="s">
        <v>664</v>
      </c>
      <c r="Q1012" t="str">
        <f>"8016431043112"</f>
        <v>8016431043112</v>
      </c>
      <c r="R1012" s="1" t="s">
        <v>873</v>
      </c>
      <c r="T1012" s="1" t="s">
        <v>874</v>
      </c>
      <c r="U1012">
        <v>402</v>
      </c>
      <c r="V1012" t="s">
        <v>664</v>
      </c>
      <c r="W1012" t="s">
        <v>668</v>
      </c>
      <c r="X1012" t="s">
        <v>224</v>
      </c>
    </row>
    <row r="1013" spans="1:24">
      <c r="A1013">
        <v>13529</v>
      </c>
      <c r="B1013" t="s">
        <v>25</v>
      </c>
      <c r="C1013" t="str">
        <f t="shared" si="31"/>
        <v>INTEGRA Saloon</v>
      </c>
      <c r="D1013" t="str">
        <f t="shared" si="32"/>
        <v>1.6</v>
      </c>
      <c r="E1013" t="s">
        <v>26</v>
      </c>
      <c r="F1013">
        <v>198501</v>
      </c>
      <c r="G1013">
        <v>199012</v>
      </c>
      <c r="H1013">
        <v>74</v>
      </c>
      <c r="I1013">
        <v>100</v>
      </c>
      <c r="J1013">
        <v>1590</v>
      </c>
      <c r="K1013">
        <v>4087472</v>
      </c>
      <c r="L1013" t="s">
        <v>252</v>
      </c>
      <c r="M1013" t="str">
        <f>"6611"</f>
        <v>6611</v>
      </c>
      <c r="N1013" t="str">
        <f>"661.1"</f>
        <v>661.1</v>
      </c>
      <c r="O1013" t="str">
        <f>"20108"</f>
        <v>20108</v>
      </c>
      <c r="P1013" t="s">
        <v>664</v>
      </c>
      <c r="Q1013" t="str">
        <f>"8016431066111"</f>
        <v>8016431066111</v>
      </c>
      <c r="R1013" s="1" t="s">
        <v>875</v>
      </c>
      <c r="T1013" s="1" t="s">
        <v>876</v>
      </c>
      <c r="U1013">
        <v>402</v>
      </c>
      <c r="V1013" t="s">
        <v>664</v>
      </c>
      <c r="W1013" t="s">
        <v>668</v>
      </c>
      <c r="X1013" t="s">
        <v>224</v>
      </c>
    </row>
    <row r="1014" spans="1:24">
      <c r="A1014">
        <v>13529</v>
      </c>
      <c r="B1014" t="s">
        <v>25</v>
      </c>
      <c r="C1014" t="str">
        <f t="shared" si="31"/>
        <v>INTEGRA Saloon</v>
      </c>
      <c r="D1014" t="str">
        <f t="shared" si="32"/>
        <v>1.6</v>
      </c>
      <c r="E1014" t="s">
        <v>26</v>
      </c>
      <c r="F1014">
        <v>198501</v>
      </c>
      <c r="G1014">
        <v>199012</v>
      </c>
      <c r="H1014">
        <v>74</v>
      </c>
      <c r="I1014">
        <v>100</v>
      </c>
      <c r="J1014">
        <v>1590</v>
      </c>
      <c r="K1014">
        <v>4093250</v>
      </c>
      <c r="L1014" t="s">
        <v>877</v>
      </c>
      <c r="M1014" t="str">
        <f>"DFB5215"</f>
        <v>DFB5215</v>
      </c>
      <c r="N1014" t="str">
        <f>"DFB5215"</f>
        <v>DFB5215</v>
      </c>
      <c r="O1014" t="str">
        <f>""</f>
        <v/>
      </c>
      <c r="P1014" t="s">
        <v>664</v>
      </c>
      <c r="Q1014" t="str">
        <f>""</f>
        <v/>
      </c>
      <c r="R1014" t="s">
        <v>878</v>
      </c>
      <c r="S1014" t="s">
        <v>675</v>
      </c>
      <c r="T1014" s="1" t="s">
        <v>879</v>
      </c>
      <c r="U1014">
        <v>402</v>
      </c>
      <c r="V1014" t="s">
        <v>664</v>
      </c>
      <c r="W1014" t="s">
        <v>668</v>
      </c>
      <c r="X1014" t="s">
        <v>224</v>
      </c>
    </row>
    <row r="1015" spans="1:24">
      <c r="A1015">
        <v>13529</v>
      </c>
      <c r="B1015" t="s">
        <v>25</v>
      </c>
      <c r="C1015" t="str">
        <f t="shared" si="31"/>
        <v>INTEGRA Saloon</v>
      </c>
      <c r="D1015" t="str">
        <f t="shared" si="32"/>
        <v>1.6</v>
      </c>
      <c r="E1015" t="s">
        <v>26</v>
      </c>
      <c r="F1015">
        <v>198501</v>
      </c>
      <c r="G1015">
        <v>199012</v>
      </c>
      <c r="H1015">
        <v>74</v>
      </c>
      <c r="I1015">
        <v>100</v>
      </c>
      <c r="J1015">
        <v>1590</v>
      </c>
      <c r="K1015">
        <v>4159416</v>
      </c>
      <c r="L1015" t="s">
        <v>880</v>
      </c>
      <c r="M1015" t="str">
        <f>"1511027"</f>
        <v>1511027</v>
      </c>
      <c r="N1015" t="str">
        <f>"151-1027"</f>
        <v>151-1027</v>
      </c>
      <c r="O1015" t="str">
        <f>"21313"</f>
        <v>21313</v>
      </c>
      <c r="P1015" t="s">
        <v>664</v>
      </c>
      <c r="Q1015" t="str">
        <f>""</f>
        <v/>
      </c>
      <c r="R1015" t="s">
        <v>881</v>
      </c>
      <c r="S1015" t="s">
        <v>675</v>
      </c>
      <c r="T1015" s="1" t="s">
        <v>1406</v>
      </c>
      <c r="U1015">
        <v>402</v>
      </c>
      <c r="V1015" t="s">
        <v>664</v>
      </c>
      <c r="W1015" t="s">
        <v>668</v>
      </c>
      <c r="X1015" t="s">
        <v>224</v>
      </c>
    </row>
    <row r="1016" spans="1:24">
      <c r="A1016">
        <v>13529</v>
      </c>
      <c r="B1016" t="s">
        <v>25</v>
      </c>
      <c r="C1016" t="str">
        <f t="shared" si="31"/>
        <v>INTEGRA Saloon</v>
      </c>
      <c r="D1016" t="str">
        <f t="shared" si="32"/>
        <v>1.6</v>
      </c>
      <c r="E1016" t="s">
        <v>26</v>
      </c>
      <c r="F1016">
        <v>198501</v>
      </c>
      <c r="G1016">
        <v>199012</v>
      </c>
      <c r="H1016">
        <v>74</v>
      </c>
      <c r="I1016">
        <v>100</v>
      </c>
      <c r="J1016">
        <v>1590</v>
      </c>
      <c r="K1016">
        <v>4159878</v>
      </c>
      <c r="L1016" t="s">
        <v>880</v>
      </c>
      <c r="M1016" t="str">
        <f>"1511513"</f>
        <v>1511513</v>
      </c>
      <c r="N1016" t="str">
        <f>"151-1513"</f>
        <v>151-1513</v>
      </c>
      <c r="O1016" t="str">
        <f>"20104"</f>
        <v>20104</v>
      </c>
      <c r="P1016" t="s">
        <v>664</v>
      </c>
      <c r="Q1016" t="str">
        <f>""</f>
        <v/>
      </c>
      <c r="R1016" t="s">
        <v>883</v>
      </c>
      <c r="S1016" t="s">
        <v>316</v>
      </c>
      <c r="T1016" s="1" t="s">
        <v>884</v>
      </c>
      <c r="U1016">
        <v>402</v>
      </c>
      <c r="V1016" t="s">
        <v>664</v>
      </c>
      <c r="W1016" t="s">
        <v>668</v>
      </c>
      <c r="X1016" t="s">
        <v>224</v>
      </c>
    </row>
    <row r="1017" spans="1:24">
      <c r="A1017">
        <v>13529</v>
      </c>
      <c r="B1017" t="s">
        <v>25</v>
      </c>
      <c r="C1017" t="str">
        <f t="shared" si="31"/>
        <v>INTEGRA Saloon</v>
      </c>
      <c r="D1017" t="str">
        <f t="shared" si="32"/>
        <v>1.6</v>
      </c>
      <c r="E1017" t="s">
        <v>26</v>
      </c>
      <c r="F1017">
        <v>198501</v>
      </c>
      <c r="G1017">
        <v>199012</v>
      </c>
      <c r="H1017">
        <v>74</v>
      </c>
      <c r="I1017">
        <v>100</v>
      </c>
      <c r="J1017">
        <v>1590</v>
      </c>
      <c r="K1017">
        <v>4160423</v>
      </c>
      <c r="L1017" t="s">
        <v>880</v>
      </c>
      <c r="M1017" t="str">
        <f>"1512103"</f>
        <v>1512103</v>
      </c>
      <c r="N1017" t="str">
        <f>"151-2103"</f>
        <v>151-2103</v>
      </c>
      <c r="O1017" t="str">
        <f>"21447"</f>
        <v>21447</v>
      </c>
      <c r="P1017" t="s">
        <v>664</v>
      </c>
      <c r="Q1017" t="str">
        <f>""</f>
        <v/>
      </c>
      <c r="R1017" t="s">
        <v>885</v>
      </c>
      <c r="S1017" t="s">
        <v>678</v>
      </c>
      <c r="T1017" s="1" t="s">
        <v>886</v>
      </c>
      <c r="U1017">
        <v>402</v>
      </c>
      <c r="V1017" t="s">
        <v>664</v>
      </c>
      <c r="W1017" t="s">
        <v>668</v>
      </c>
      <c r="X1017" t="s">
        <v>224</v>
      </c>
    </row>
    <row r="1018" spans="1:24">
      <c r="A1018">
        <v>13529</v>
      </c>
      <c r="B1018" t="s">
        <v>25</v>
      </c>
      <c r="C1018" t="str">
        <f t="shared" si="31"/>
        <v>INTEGRA Saloon</v>
      </c>
      <c r="D1018" t="str">
        <f t="shared" si="32"/>
        <v>1.6</v>
      </c>
      <c r="E1018" t="s">
        <v>26</v>
      </c>
      <c r="F1018">
        <v>198501</v>
      </c>
      <c r="G1018">
        <v>199012</v>
      </c>
      <c r="H1018">
        <v>74</v>
      </c>
      <c r="I1018">
        <v>100</v>
      </c>
      <c r="J1018">
        <v>1590</v>
      </c>
      <c r="K1018">
        <v>4198299</v>
      </c>
      <c r="L1018" t="s">
        <v>255</v>
      </c>
      <c r="M1018" t="str">
        <f>"C14026ABE"</f>
        <v>C14026ABE</v>
      </c>
      <c r="N1018" t="str">
        <f>"C14026ABE"</f>
        <v>C14026ABE</v>
      </c>
      <c r="O1018" t="str">
        <f>""</f>
        <v/>
      </c>
      <c r="P1018" t="s">
        <v>664</v>
      </c>
      <c r="Q1018" t="str">
        <f>""</f>
        <v/>
      </c>
      <c r="R1018" t="s">
        <v>887</v>
      </c>
      <c r="S1018" t="s">
        <v>888</v>
      </c>
      <c r="T1018" s="1" t="s">
        <v>889</v>
      </c>
      <c r="U1018">
        <v>402</v>
      </c>
      <c r="V1018" t="s">
        <v>664</v>
      </c>
      <c r="W1018" t="s">
        <v>668</v>
      </c>
      <c r="X1018" t="s">
        <v>224</v>
      </c>
    </row>
    <row r="1019" spans="1:24">
      <c r="A1019">
        <v>13529</v>
      </c>
      <c r="B1019" t="s">
        <v>25</v>
      </c>
      <c r="C1019" t="str">
        <f t="shared" si="31"/>
        <v>INTEGRA Saloon</v>
      </c>
      <c r="D1019" t="str">
        <f t="shared" si="32"/>
        <v>1.6</v>
      </c>
      <c r="E1019" t="s">
        <v>26</v>
      </c>
      <c r="F1019">
        <v>198501</v>
      </c>
      <c r="G1019">
        <v>199012</v>
      </c>
      <c r="H1019">
        <v>74</v>
      </c>
      <c r="I1019">
        <v>100</v>
      </c>
      <c r="J1019">
        <v>1590</v>
      </c>
      <c r="K1019">
        <v>4198817</v>
      </c>
      <c r="L1019" t="s">
        <v>255</v>
      </c>
      <c r="M1019" t="str">
        <f>"C24002ABE"</f>
        <v>C24002ABE</v>
      </c>
      <c r="N1019" t="str">
        <f>"C24002ABE"</f>
        <v>C24002ABE</v>
      </c>
      <c r="O1019" t="str">
        <f>""</f>
        <v/>
      </c>
      <c r="P1019" t="s">
        <v>664</v>
      </c>
      <c r="Q1019" t="str">
        <f>""</f>
        <v/>
      </c>
      <c r="R1019" t="s">
        <v>890</v>
      </c>
      <c r="S1019" t="s">
        <v>696</v>
      </c>
      <c r="T1019" s="1" t="s">
        <v>891</v>
      </c>
      <c r="U1019">
        <v>402</v>
      </c>
      <c r="V1019" t="s">
        <v>664</v>
      </c>
      <c r="W1019" t="s">
        <v>668</v>
      </c>
      <c r="X1019" t="s">
        <v>224</v>
      </c>
    </row>
    <row r="1020" spans="1:24">
      <c r="A1020">
        <v>13529</v>
      </c>
      <c r="B1020" t="s">
        <v>25</v>
      </c>
      <c r="C1020" t="str">
        <f t="shared" si="31"/>
        <v>INTEGRA Saloon</v>
      </c>
      <c r="D1020" t="str">
        <f t="shared" si="32"/>
        <v>1.6</v>
      </c>
      <c r="E1020" t="s">
        <v>26</v>
      </c>
      <c r="F1020">
        <v>198501</v>
      </c>
      <c r="G1020">
        <v>199012</v>
      </c>
      <c r="H1020">
        <v>74</v>
      </c>
      <c r="I1020">
        <v>100</v>
      </c>
      <c r="J1020">
        <v>1590</v>
      </c>
      <c r="K1020">
        <v>4270563</v>
      </c>
      <c r="L1020" t="s">
        <v>436</v>
      </c>
      <c r="M1020" t="str">
        <f>"BP1216"</f>
        <v>BP1216</v>
      </c>
      <c r="N1020" t="str">
        <f>"BP1216"</f>
        <v>BP1216</v>
      </c>
      <c r="O1020" t="str">
        <f>""</f>
        <v/>
      </c>
      <c r="P1020" t="s">
        <v>664</v>
      </c>
      <c r="Q1020" t="str">
        <f>""</f>
        <v/>
      </c>
      <c r="R1020" t="s">
        <v>892</v>
      </c>
      <c r="T1020" s="1" t="s">
        <v>893</v>
      </c>
      <c r="U1020">
        <v>402</v>
      </c>
      <c r="V1020" t="s">
        <v>664</v>
      </c>
      <c r="W1020" t="s">
        <v>668</v>
      </c>
      <c r="X1020" t="s">
        <v>224</v>
      </c>
    </row>
    <row r="1021" spans="1:24">
      <c r="A1021">
        <v>13529</v>
      </c>
      <c r="B1021" t="s">
        <v>25</v>
      </c>
      <c r="C1021" t="str">
        <f t="shared" si="31"/>
        <v>INTEGRA Saloon</v>
      </c>
      <c r="D1021" t="str">
        <f t="shared" si="32"/>
        <v>1.6</v>
      </c>
      <c r="E1021" t="s">
        <v>26</v>
      </c>
      <c r="F1021">
        <v>198501</v>
      </c>
      <c r="G1021">
        <v>199012</v>
      </c>
      <c r="H1021">
        <v>74</v>
      </c>
      <c r="I1021">
        <v>100</v>
      </c>
      <c r="J1021">
        <v>1590</v>
      </c>
      <c r="K1021">
        <v>4270571</v>
      </c>
      <c r="L1021" t="s">
        <v>436</v>
      </c>
      <c r="M1021" t="str">
        <f>"BP1226"</f>
        <v>BP1226</v>
      </c>
      <c r="N1021" t="str">
        <f>"BP1226"</f>
        <v>BP1226</v>
      </c>
      <c r="O1021" t="str">
        <f>""</f>
        <v/>
      </c>
      <c r="P1021" t="s">
        <v>664</v>
      </c>
      <c r="Q1021" t="str">
        <f>""</f>
        <v/>
      </c>
      <c r="R1021" t="s">
        <v>894</v>
      </c>
      <c r="T1021" s="1" t="s">
        <v>895</v>
      </c>
      <c r="U1021">
        <v>402</v>
      </c>
      <c r="V1021" t="s">
        <v>664</v>
      </c>
      <c r="W1021" t="s">
        <v>668</v>
      </c>
      <c r="X1021" t="s">
        <v>224</v>
      </c>
    </row>
    <row r="1022" spans="1:24">
      <c r="A1022">
        <v>13529</v>
      </c>
      <c r="B1022" t="s">
        <v>25</v>
      </c>
      <c r="C1022" t="str">
        <f t="shared" si="31"/>
        <v>INTEGRA Saloon</v>
      </c>
      <c r="D1022" t="str">
        <f t="shared" si="32"/>
        <v>1.6</v>
      </c>
      <c r="E1022" t="s">
        <v>26</v>
      </c>
      <c r="F1022">
        <v>198501</v>
      </c>
      <c r="G1022">
        <v>199012</v>
      </c>
      <c r="H1022">
        <v>74</v>
      </c>
      <c r="I1022">
        <v>100</v>
      </c>
      <c r="J1022">
        <v>1590</v>
      </c>
      <c r="K1022">
        <v>4270593</v>
      </c>
      <c r="L1022" t="s">
        <v>436</v>
      </c>
      <c r="M1022" t="str">
        <f>"BP1252"</f>
        <v>BP1252</v>
      </c>
      <c r="N1022" t="str">
        <f>"BP1252"</f>
        <v>BP1252</v>
      </c>
      <c r="O1022" t="str">
        <f>""</f>
        <v/>
      </c>
      <c r="P1022" t="s">
        <v>664</v>
      </c>
      <c r="Q1022" t="str">
        <f>""</f>
        <v/>
      </c>
      <c r="R1022" t="s">
        <v>896</v>
      </c>
      <c r="T1022" s="1" t="s">
        <v>897</v>
      </c>
      <c r="U1022">
        <v>402</v>
      </c>
      <c r="V1022" t="s">
        <v>664</v>
      </c>
      <c r="W1022" t="s">
        <v>668</v>
      </c>
      <c r="X1022" t="s">
        <v>224</v>
      </c>
    </row>
    <row r="1023" spans="1:24">
      <c r="A1023">
        <v>13529</v>
      </c>
      <c r="B1023" t="s">
        <v>25</v>
      </c>
      <c r="C1023" t="str">
        <f t="shared" si="31"/>
        <v>INTEGRA Saloon</v>
      </c>
      <c r="D1023" t="str">
        <f t="shared" si="32"/>
        <v>1.6</v>
      </c>
      <c r="E1023" t="s">
        <v>26</v>
      </c>
      <c r="F1023">
        <v>198501</v>
      </c>
      <c r="G1023">
        <v>199012</v>
      </c>
      <c r="H1023">
        <v>74</v>
      </c>
      <c r="I1023">
        <v>100</v>
      </c>
      <c r="J1023">
        <v>1590</v>
      </c>
      <c r="K1023">
        <v>4277656</v>
      </c>
      <c r="L1023" t="s">
        <v>129</v>
      </c>
      <c r="M1023" t="str">
        <f>"18500058017"</f>
        <v>18500058017</v>
      </c>
      <c r="N1023" t="str">
        <f>"1850.0058017"</f>
        <v>1850.0058017</v>
      </c>
      <c r="O1023" t="str">
        <f>"23237"</f>
        <v>23237</v>
      </c>
      <c r="P1023" t="s">
        <v>664</v>
      </c>
      <c r="Q1023" t="str">
        <f>"8421779532233"</f>
        <v>8421779532233</v>
      </c>
      <c r="R1023" t="s">
        <v>898</v>
      </c>
      <c r="T1023" t="s">
        <v>899</v>
      </c>
      <c r="U1023">
        <v>402</v>
      </c>
      <c r="V1023" t="s">
        <v>664</v>
      </c>
      <c r="W1023" t="s">
        <v>668</v>
      </c>
      <c r="X1023" t="s">
        <v>224</v>
      </c>
    </row>
    <row r="1024" spans="1:24">
      <c r="A1024">
        <v>13529</v>
      </c>
      <c r="B1024" t="s">
        <v>25</v>
      </c>
      <c r="C1024" t="str">
        <f t="shared" si="31"/>
        <v>INTEGRA Saloon</v>
      </c>
      <c r="D1024" t="str">
        <f t="shared" si="32"/>
        <v>1.6</v>
      </c>
      <c r="E1024" t="s">
        <v>26</v>
      </c>
      <c r="F1024">
        <v>198501</v>
      </c>
      <c r="G1024">
        <v>199012</v>
      </c>
      <c r="H1024">
        <v>74</v>
      </c>
      <c r="I1024">
        <v>100</v>
      </c>
      <c r="J1024">
        <v>1590</v>
      </c>
      <c r="K1024">
        <v>4277701</v>
      </c>
      <c r="L1024" t="s">
        <v>129</v>
      </c>
      <c r="M1024" t="str">
        <f>"18500058062"</f>
        <v>18500058062</v>
      </c>
      <c r="N1024" t="str">
        <f>"1850.0058062"</f>
        <v>1850.0058062</v>
      </c>
      <c r="O1024" t="str">
        <f>"21312"</f>
        <v>21312</v>
      </c>
      <c r="P1024" t="s">
        <v>664</v>
      </c>
      <c r="Q1024" t="str">
        <f>"8421779532684"</f>
        <v>8421779532684</v>
      </c>
      <c r="R1024" t="s">
        <v>900</v>
      </c>
      <c r="T1024" t="s">
        <v>901</v>
      </c>
      <c r="U1024">
        <v>402</v>
      </c>
      <c r="V1024" t="s">
        <v>664</v>
      </c>
      <c r="W1024" t="s">
        <v>668</v>
      </c>
      <c r="X1024" t="s">
        <v>224</v>
      </c>
    </row>
    <row r="1025" spans="1:25">
      <c r="A1025">
        <v>13529</v>
      </c>
      <c r="B1025" t="s">
        <v>25</v>
      </c>
      <c r="C1025" t="str">
        <f t="shared" si="31"/>
        <v>INTEGRA Saloon</v>
      </c>
      <c r="D1025" t="str">
        <f t="shared" si="32"/>
        <v>1.6</v>
      </c>
      <c r="E1025" t="s">
        <v>26</v>
      </c>
      <c r="F1025">
        <v>198501</v>
      </c>
      <c r="G1025">
        <v>199012</v>
      </c>
      <c r="H1025">
        <v>74</v>
      </c>
      <c r="I1025">
        <v>100</v>
      </c>
      <c r="J1025">
        <v>1590</v>
      </c>
      <c r="K1025">
        <v>4391036</v>
      </c>
      <c r="L1025" t="s">
        <v>507</v>
      </c>
      <c r="M1025" t="str">
        <f>"657010BSX"</f>
        <v>657010BSX</v>
      </c>
      <c r="N1025" t="str">
        <f>"657 010B-SX"</f>
        <v>657 010B-SX</v>
      </c>
      <c r="O1025" t="str">
        <f>"PCA064610"</f>
        <v>PCA064610</v>
      </c>
      <c r="P1025" t="s">
        <v>664</v>
      </c>
      <c r="Q1025" t="str">
        <f>""</f>
        <v/>
      </c>
      <c r="R1025" t="s">
        <v>902</v>
      </c>
      <c r="T1025" t="s">
        <v>903</v>
      </c>
      <c r="U1025">
        <v>402</v>
      </c>
      <c r="V1025" t="s">
        <v>664</v>
      </c>
      <c r="W1025" t="s">
        <v>668</v>
      </c>
      <c r="X1025" t="s">
        <v>224</v>
      </c>
    </row>
    <row r="1026" spans="1:25">
      <c r="A1026">
        <v>13529</v>
      </c>
      <c r="B1026" t="s">
        <v>25</v>
      </c>
      <c r="C1026" t="str">
        <f t="shared" ref="C1026:C1089" si="33">"INTEGRA Saloon"</f>
        <v>INTEGRA Saloon</v>
      </c>
      <c r="D1026" t="str">
        <f t="shared" si="32"/>
        <v>1.6</v>
      </c>
      <c r="E1026" t="s">
        <v>26</v>
      </c>
      <c r="F1026">
        <v>198501</v>
      </c>
      <c r="G1026">
        <v>199012</v>
      </c>
      <c r="H1026">
        <v>74</v>
      </c>
      <c r="I1026">
        <v>100</v>
      </c>
      <c r="J1026">
        <v>1590</v>
      </c>
      <c r="K1026">
        <v>4416298</v>
      </c>
      <c r="L1026" t="s">
        <v>193</v>
      </c>
      <c r="M1026" t="str">
        <f>"BD3428"</f>
        <v>BD3428</v>
      </c>
      <c r="N1026" t="str">
        <f>"BD-3428"</f>
        <v>BD-3428</v>
      </c>
      <c r="O1026" t="str">
        <f>""</f>
        <v/>
      </c>
      <c r="P1026" t="s">
        <v>664</v>
      </c>
      <c r="Q1026" t="str">
        <f>"4905601063200"</f>
        <v>4905601063200</v>
      </c>
      <c r="R1026" t="s">
        <v>904</v>
      </c>
      <c r="S1026" t="s">
        <v>905</v>
      </c>
      <c r="T1026" s="1" t="s">
        <v>906</v>
      </c>
      <c r="U1026">
        <v>402</v>
      </c>
      <c r="V1026" t="s">
        <v>664</v>
      </c>
      <c r="W1026" t="s">
        <v>668</v>
      </c>
      <c r="X1026" t="s">
        <v>224</v>
      </c>
    </row>
    <row r="1027" spans="1:25">
      <c r="A1027">
        <v>13529</v>
      </c>
      <c r="B1027" t="s">
        <v>25</v>
      </c>
      <c r="C1027" t="str">
        <f t="shared" si="33"/>
        <v>INTEGRA Saloon</v>
      </c>
      <c r="D1027" t="str">
        <f t="shared" si="32"/>
        <v>1.6</v>
      </c>
      <c r="E1027" t="s">
        <v>26</v>
      </c>
      <c r="F1027">
        <v>198501</v>
      </c>
      <c r="G1027">
        <v>199012</v>
      </c>
      <c r="H1027">
        <v>74</v>
      </c>
      <c r="I1027">
        <v>100</v>
      </c>
      <c r="J1027">
        <v>1590</v>
      </c>
      <c r="K1027">
        <v>4416299</v>
      </c>
      <c r="L1027" t="s">
        <v>193</v>
      </c>
      <c r="M1027" t="str">
        <f>"BD3429"</f>
        <v>BD3429</v>
      </c>
      <c r="N1027" t="str">
        <f>"BD-3429"</f>
        <v>BD-3429</v>
      </c>
      <c r="O1027" t="str">
        <f>""</f>
        <v/>
      </c>
      <c r="P1027" t="s">
        <v>664</v>
      </c>
      <c r="Q1027" t="str">
        <f>""</f>
        <v/>
      </c>
      <c r="R1027" t="s">
        <v>907</v>
      </c>
      <c r="S1027" t="s">
        <v>287</v>
      </c>
      <c r="T1027" s="1" t="s">
        <v>908</v>
      </c>
      <c r="U1027">
        <v>402</v>
      </c>
      <c r="V1027" t="s">
        <v>664</v>
      </c>
      <c r="W1027" t="s">
        <v>668</v>
      </c>
      <c r="X1027" t="s">
        <v>224</v>
      </c>
    </row>
    <row r="1028" spans="1:25">
      <c r="A1028">
        <v>13529</v>
      </c>
      <c r="B1028" t="s">
        <v>25</v>
      </c>
      <c r="C1028" t="str">
        <f t="shared" si="33"/>
        <v>INTEGRA Saloon</v>
      </c>
      <c r="D1028" t="str">
        <f t="shared" si="32"/>
        <v>1.6</v>
      </c>
      <c r="E1028" t="s">
        <v>26</v>
      </c>
      <c r="F1028">
        <v>198501</v>
      </c>
      <c r="G1028">
        <v>199012</v>
      </c>
      <c r="H1028">
        <v>74</v>
      </c>
      <c r="I1028">
        <v>100</v>
      </c>
      <c r="J1028">
        <v>1590</v>
      </c>
      <c r="K1028">
        <v>4474272</v>
      </c>
      <c r="L1028" t="s">
        <v>909</v>
      </c>
      <c r="M1028" t="str">
        <f>"8DB355005731"</f>
        <v>8DB355005731</v>
      </c>
      <c r="N1028" t="str">
        <f>"8DB 355 005-731"</f>
        <v>8DB 355 005-731</v>
      </c>
      <c r="O1028" t="str">
        <f>"T0034"</f>
        <v>T0034</v>
      </c>
      <c r="P1028" t="s">
        <v>664</v>
      </c>
      <c r="Q1028" t="str">
        <f>"4082300350043"</f>
        <v>4082300350043</v>
      </c>
      <c r="R1028" t="s">
        <v>691</v>
      </c>
      <c r="S1028" t="s">
        <v>221</v>
      </c>
      <c r="T1028" s="1" t="s">
        <v>692</v>
      </c>
      <c r="U1028">
        <v>402</v>
      </c>
      <c r="V1028" t="s">
        <v>664</v>
      </c>
      <c r="W1028" t="s">
        <v>668</v>
      </c>
      <c r="X1028" t="s">
        <v>224</v>
      </c>
    </row>
    <row r="1029" spans="1:25">
      <c r="A1029">
        <v>13529</v>
      </c>
      <c r="B1029" t="s">
        <v>25</v>
      </c>
      <c r="C1029" t="str">
        <f t="shared" si="33"/>
        <v>INTEGRA Saloon</v>
      </c>
      <c r="D1029" t="str">
        <f t="shared" si="32"/>
        <v>1.6</v>
      </c>
      <c r="E1029" t="s">
        <v>26</v>
      </c>
      <c r="F1029">
        <v>198501</v>
      </c>
      <c r="G1029">
        <v>199012</v>
      </c>
      <c r="H1029">
        <v>74</v>
      </c>
      <c r="I1029">
        <v>100</v>
      </c>
      <c r="J1029">
        <v>1590</v>
      </c>
      <c r="K1029">
        <v>4474325</v>
      </c>
      <c r="L1029" t="s">
        <v>909</v>
      </c>
      <c r="M1029" t="str">
        <f>"8DB355006261"</f>
        <v>8DB355006261</v>
      </c>
      <c r="N1029" t="str">
        <f>"8DB 355 006-261"</f>
        <v>8DB 355 006-261</v>
      </c>
      <c r="O1029" t="str">
        <f>"T0365"</f>
        <v>T0365</v>
      </c>
      <c r="P1029" t="s">
        <v>664</v>
      </c>
      <c r="Q1029" t="str">
        <f>"4082300350579"</f>
        <v>4082300350579</v>
      </c>
      <c r="R1029" t="s">
        <v>693</v>
      </c>
      <c r="S1029" t="s">
        <v>310</v>
      </c>
      <c r="T1029" s="1" t="s">
        <v>694</v>
      </c>
      <c r="U1029">
        <v>402</v>
      </c>
      <c r="V1029" t="s">
        <v>664</v>
      </c>
      <c r="W1029" t="s">
        <v>668</v>
      </c>
      <c r="X1029" t="s">
        <v>224</v>
      </c>
    </row>
    <row r="1030" spans="1:25">
      <c r="A1030">
        <v>13529</v>
      </c>
      <c r="B1030" t="s">
        <v>25</v>
      </c>
      <c r="C1030" t="str">
        <f t="shared" si="33"/>
        <v>INTEGRA Saloon</v>
      </c>
      <c r="D1030" t="str">
        <f t="shared" si="32"/>
        <v>1.6</v>
      </c>
      <c r="E1030" t="s">
        <v>26</v>
      </c>
      <c r="F1030">
        <v>198501</v>
      </c>
      <c r="G1030">
        <v>199012</v>
      </c>
      <c r="H1030">
        <v>74</v>
      </c>
      <c r="I1030">
        <v>100</v>
      </c>
      <c r="J1030">
        <v>1590</v>
      </c>
      <c r="K1030">
        <v>4541905</v>
      </c>
      <c r="L1030" t="s">
        <v>910</v>
      </c>
      <c r="M1030" t="str">
        <f>"PF1532"</f>
        <v>PF1532</v>
      </c>
      <c r="N1030" t="str">
        <f>"PF1532"</f>
        <v>PF1532</v>
      </c>
      <c r="O1030" t="str">
        <f>""</f>
        <v/>
      </c>
      <c r="P1030" t="s">
        <v>664</v>
      </c>
      <c r="Q1030" t="str">
        <f>""</f>
        <v/>
      </c>
      <c r="R1030" t="s">
        <v>911</v>
      </c>
      <c r="S1030" t="s">
        <v>675</v>
      </c>
      <c r="T1030" s="1" t="s">
        <v>1407</v>
      </c>
      <c r="U1030">
        <v>402</v>
      </c>
      <c r="V1030" t="s">
        <v>664</v>
      </c>
      <c r="W1030" t="s">
        <v>668</v>
      </c>
      <c r="X1030" t="s">
        <v>224</v>
      </c>
    </row>
    <row r="1031" spans="1:25">
      <c r="A1031">
        <v>13529</v>
      </c>
      <c r="B1031" t="s">
        <v>25</v>
      </c>
      <c r="C1031" t="str">
        <f t="shared" si="33"/>
        <v>INTEGRA Saloon</v>
      </c>
      <c r="D1031" t="str">
        <f t="shared" si="32"/>
        <v>1.6</v>
      </c>
      <c r="E1031" t="s">
        <v>26</v>
      </c>
      <c r="F1031">
        <v>198501</v>
      </c>
      <c r="G1031">
        <v>199012</v>
      </c>
      <c r="H1031">
        <v>74</v>
      </c>
      <c r="I1031">
        <v>100</v>
      </c>
      <c r="J1031">
        <v>1590</v>
      </c>
      <c r="K1031">
        <v>4957470</v>
      </c>
      <c r="L1031" t="s">
        <v>258</v>
      </c>
      <c r="M1031" t="str">
        <f>"BP2349"</f>
        <v>BP2349</v>
      </c>
      <c r="N1031" t="str">
        <f>"BP2349"</f>
        <v>BP2349</v>
      </c>
      <c r="O1031" t="str">
        <f>"20104"</f>
        <v>20104</v>
      </c>
      <c r="P1031" t="s">
        <v>664</v>
      </c>
      <c r="Q1031" t="str">
        <f>"805014100295"</f>
        <v>805014100295</v>
      </c>
      <c r="R1031" t="s">
        <v>913</v>
      </c>
      <c r="T1031" s="1" t="s">
        <v>914</v>
      </c>
      <c r="U1031">
        <v>402</v>
      </c>
      <c r="V1031" t="s">
        <v>664</v>
      </c>
      <c r="W1031" t="s">
        <v>668</v>
      </c>
      <c r="X1031" t="s">
        <v>224</v>
      </c>
    </row>
    <row r="1032" spans="1:25">
      <c r="A1032">
        <v>13529</v>
      </c>
      <c r="B1032" t="s">
        <v>25</v>
      </c>
      <c r="C1032" t="str">
        <f t="shared" si="33"/>
        <v>INTEGRA Saloon</v>
      </c>
      <c r="D1032" t="str">
        <f t="shared" si="32"/>
        <v>1.6</v>
      </c>
      <c r="E1032" t="s">
        <v>26</v>
      </c>
      <c r="F1032">
        <v>198501</v>
      </c>
      <c r="G1032">
        <v>199012</v>
      </c>
      <c r="H1032">
        <v>74</v>
      </c>
      <c r="I1032">
        <v>100</v>
      </c>
      <c r="J1032">
        <v>1590</v>
      </c>
      <c r="K1032">
        <v>4957491</v>
      </c>
      <c r="L1032" t="s">
        <v>258</v>
      </c>
      <c r="M1032" t="str">
        <f>"BP2371"</f>
        <v>BP2371</v>
      </c>
      <c r="N1032" t="str">
        <f>"BP2371"</f>
        <v>BP2371</v>
      </c>
      <c r="O1032" t="str">
        <f>"20067"</f>
        <v>20067</v>
      </c>
      <c r="P1032" t="s">
        <v>664</v>
      </c>
      <c r="Q1032" t="str">
        <f>"805014100316"</f>
        <v>805014100316</v>
      </c>
      <c r="R1032" t="s">
        <v>915</v>
      </c>
      <c r="T1032" s="1" t="s">
        <v>916</v>
      </c>
      <c r="U1032">
        <v>402</v>
      </c>
      <c r="V1032" t="s">
        <v>664</v>
      </c>
      <c r="W1032" t="s">
        <v>668</v>
      </c>
      <c r="X1032" t="s">
        <v>224</v>
      </c>
    </row>
    <row r="1033" spans="1:25">
      <c r="A1033">
        <v>13529</v>
      </c>
      <c r="B1033" t="s">
        <v>25</v>
      </c>
      <c r="C1033" t="str">
        <f t="shared" si="33"/>
        <v>INTEGRA Saloon</v>
      </c>
      <c r="D1033" t="str">
        <f t="shared" si="32"/>
        <v>1.6</v>
      </c>
      <c r="E1033" t="s">
        <v>26</v>
      </c>
      <c r="F1033">
        <v>198501</v>
      </c>
      <c r="G1033">
        <v>199012</v>
      </c>
      <c r="H1033">
        <v>74</v>
      </c>
      <c r="I1033">
        <v>100</v>
      </c>
      <c r="J1033">
        <v>1590</v>
      </c>
      <c r="K1033">
        <v>4957515</v>
      </c>
      <c r="L1033" t="s">
        <v>258</v>
      </c>
      <c r="M1033" t="str">
        <f>"BP2396"</f>
        <v>BP2396</v>
      </c>
      <c r="N1033" t="str">
        <f>"BP2396"</f>
        <v>BP2396</v>
      </c>
      <c r="O1033" t="str">
        <f>"21312"</f>
        <v>21312</v>
      </c>
      <c r="P1033" t="s">
        <v>664</v>
      </c>
      <c r="Q1033" t="str">
        <f>"805014100341"</f>
        <v>805014100341</v>
      </c>
      <c r="R1033" t="s">
        <v>917</v>
      </c>
      <c r="T1033" s="1" t="s">
        <v>918</v>
      </c>
      <c r="U1033">
        <v>402</v>
      </c>
      <c r="V1033" t="s">
        <v>664</v>
      </c>
      <c r="W1033" t="s">
        <v>668</v>
      </c>
      <c r="X1033" t="s">
        <v>224</v>
      </c>
    </row>
    <row r="1034" spans="1:25">
      <c r="A1034">
        <v>13529</v>
      </c>
      <c r="B1034" t="s">
        <v>25</v>
      </c>
      <c r="C1034" t="str">
        <f t="shared" si="33"/>
        <v>INTEGRA Saloon</v>
      </c>
      <c r="D1034" t="str">
        <f t="shared" si="32"/>
        <v>1.6</v>
      </c>
      <c r="E1034" t="s">
        <v>26</v>
      </c>
      <c r="F1034">
        <v>198501</v>
      </c>
      <c r="G1034">
        <v>199012</v>
      </c>
      <c r="H1034">
        <v>74</v>
      </c>
      <c r="I1034">
        <v>100</v>
      </c>
      <c r="J1034">
        <v>1590</v>
      </c>
      <c r="K1034">
        <v>4957596</v>
      </c>
      <c r="L1034" t="s">
        <v>258</v>
      </c>
      <c r="M1034" t="str">
        <f>"BP2479"</f>
        <v>BP2479</v>
      </c>
      <c r="N1034" t="str">
        <f>"BP2479"</f>
        <v>BP2479</v>
      </c>
      <c r="O1034" t="str">
        <f>"21323"</f>
        <v>21323</v>
      </c>
      <c r="P1034" t="s">
        <v>664</v>
      </c>
      <c r="Q1034" t="str">
        <f>"805014100422"</f>
        <v>805014100422</v>
      </c>
      <c r="R1034" t="s">
        <v>919</v>
      </c>
      <c r="T1034" s="1" t="s">
        <v>920</v>
      </c>
      <c r="U1034">
        <v>402</v>
      </c>
      <c r="V1034" t="s">
        <v>664</v>
      </c>
      <c r="W1034" t="s">
        <v>668</v>
      </c>
      <c r="X1034" t="s">
        <v>224</v>
      </c>
    </row>
    <row r="1035" spans="1:25">
      <c r="A1035">
        <v>13529</v>
      </c>
      <c r="B1035" t="s">
        <v>25</v>
      </c>
      <c r="C1035" t="str">
        <f t="shared" si="33"/>
        <v>INTEGRA Saloon</v>
      </c>
      <c r="D1035" t="str">
        <f t="shared" si="32"/>
        <v>1.6</v>
      </c>
      <c r="E1035" t="s">
        <v>26</v>
      </c>
      <c r="F1035">
        <v>198501</v>
      </c>
      <c r="G1035">
        <v>199012</v>
      </c>
      <c r="H1035">
        <v>74</v>
      </c>
      <c r="I1035">
        <v>100</v>
      </c>
      <c r="J1035">
        <v>1590</v>
      </c>
      <c r="K1035">
        <v>4957597</v>
      </c>
      <c r="L1035" t="s">
        <v>258</v>
      </c>
      <c r="M1035" t="str">
        <f>"BP2480"</f>
        <v>BP2480</v>
      </c>
      <c r="N1035" t="str">
        <f>"BP2480"</f>
        <v>BP2480</v>
      </c>
      <c r="O1035" t="str">
        <f>"21446"</f>
        <v>21446</v>
      </c>
      <c r="P1035" t="s">
        <v>664</v>
      </c>
      <c r="Q1035" t="str">
        <f>"805014100423"</f>
        <v>805014100423</v>
      </c>
      <c r="R1035" t="s">
        <v>921</v>
      </c>
      <c r="T1035" s="1" t="s">
        <v>922</v>
      </c>
      <c r="U1035">
        <v>402</v>
      </c>
      <c r="V1035" t="s">
        <v>664</v>
      </c>
      <c r="W1035" t="s">
        <v>668</v>
      </c>
      <c r="X1035" t="s">
        <v>224</v>
      </c>
    </row>
    <row r="1036" spans="1:25">
      <c r="A1036">
        <v>13529</v>
      </c>
      <c r="B1036" t="s">
        <v>25</v>
      </c>
      <c r="C1036" t="str">
        <f t="shared" si="33"/>
        <v>INTEGRA Saloon</v>
      </c>
      <c r="D1036" t="str">
        <f t="shared" si="32"/>
        <v>1.6</v>
      </c>
      <c r="E1036" t="s">
        <v>26</v>
      </c>
      <c r="F1036">
        <v>198501</v>
      </c>
      <c r="G1036">
        <v>199012</v>
      </c>
      <c r="H1036">
        <v>74</v>
      </c>
      <c r="I1036">
        <v>100</v>
      </c>
      <c r="J1036">
        <v>1590</v>
      </c>
      <c r="K1036">
        <v>4967124</v>
      </c>
      <c r="L1036" t="s">
        <v>923</v>
      </c>
      <c r="M1036" t="str">
        <f>"10471"</f>
        <v>10471</v>
      </c>
      <c r="N1036" t="str">
        <f>"10471"</f>
        <v>10471</v>
      </c>
      <c r="O1036" t="str">
        <f>""</f>
        <v/>
      </c>
      <c r="P1036" t="s">
        <v>664</v>
      </c>
      <c r="Q1036" t="str">
        <f>"8435067619346"</f>
        <v>8435067619346</v>
      </c>
      <c r="R1036" t="s">
        <v>924</v>
      </c>
      <c r="S1036" t="s">
        <v>813</v>
      </c>
      <c r="T1036" s="1" t="s">
        <v>925</v>
      </c>
      <c r="U1036">
        <v>402</v>
      </c>
      <c r="V1036" t="s">
        <v>664</v>
      </c>
      <c r="W1036" t="s">
        <v>668</v>
      </c>
      <c r="X1036" t="s">
        <v>224</v>
      </c>
    </row>
    <row r="1037" spans="1:25">
      <c r="A1037">
        <v>13529</v>
      </c>
      <c r="B1037" t="s">
        <v>25</v>
      </c>
      <c r="C1037" t="str">
        <f t="shared" si="33"/>
        <v>INTEGRA Saloon</v>
      </c>
      <c r="D1037" t="str">
        <f t="shared" si="32"/>
        <v>1.6</v>
      </c>
      <c r="E1037" t="s">
        <v>26</v>
      </c>
      <c r="F1037">
        <v>198501</v>
      </c>
      <c r="G1037">
        <v>199012</v>
      </c>
      <c r="H1037">
        <v>74</v>
      </c>
      <c r="I1037">
        <v>100</v>
      </c>
      <c r="J1037">
        <v>1590</v>
      </c>
      <c r="K1037">
        <v>1781780</v>
      </c>
      <c r="L1037" t="s">
        <v>930</v>
      </c>
      <c r="M1037" t="str">
        <f>"QSRP10"</f>
        <v>QSRP10</v>
      </c>
      <c r="N1037" t="str">
        <f>"QSRP10"</f>
        <v>QSRP10</v>
      </c>
      <c r="O1037" t="str">
        <f>""</f>
        <v/>
      </c>
      <c r="P1037" t="s">
        <v>931</v>
      </c>
      <c r="Q1037" t="str">
        <f>"5050438112627"</f>
        <v>5050438112627</v>
      </c>
      <c r="R1037" t="s">
        <v>932</v>
      </c>
      <c r="S1037" t="s">
        <v>933</v>
      </c>
      <c r="T1037" t="s">
        <v>934</v>
      </c>
      <c r="U1037">
        <v>417</v>
      </c>
      <c r="V1037" t="s">
        <v>931</v>
      </c>
      <c r="W1037" t="s">
        <v>70</v>
      </c>
      <c r="X1037" t="s">
        <v>211</v>
      </c>
      <c r="Y1037" t="s">
        <v>935</v>
      </c>
    </row>
    <row r="1038" spans="1:25">
      <c r="A1038">
        <v>13529</v>
      </c>
      <c r="B1038" t="s">
        <v>25</v>
      </c>
      <c r="C1038" t="str">
        <f t="shared" si="33"/>
        <v>INTEGRA Saloon</v>
      </c>
      <c r="D1038" t="str">
        <f t="shared" si="32"/>
        <v>1.6</v>
      </c>
      <c r="E1038" t="s">
        <v>26</v>
      </c>
      <c r="F1038">
        <v>198501</v>
      </c>
      <c r="G1038">
        <v>199012</v>
      </c>
      <c r="H1038">
        <v>74</v>
      </c>
      <c r="I1038">
        <v>100</v>
      </c>
      <c r="J1038">
        <v>1590</v>
      </c>
      <c r="K1038">
        <v>1781981</v>
      </c>
      <c r="L1038" t="s">
        <v>930</v>
      </c>
      <c r="M1038" t="str">
        <f>"QSRP12"</f>
        <v>QSRP12</v>
      </c>
      <c r="N1038" t="str">
        <f>"QSRP12"</f>
        <v>QSRP12</v>
      </c>
      <c r="O1038" t="str">
        <f>""</f>
        <v/>
      </c>
      <c r="P1038" t="s">
        <v>931</v>
      </c>
      <c r="Q1038" t="str">
        <f>"5050438112634"</f>
        <v>5050438112634</v>
      </c>
      <c r="S1038" t="s">
        <v>933</v>
      </c>
      <c r="U1038">
        <v>417</v>
      </c>
      <c r="V1038" t="s">
        <v>931</v>
      </c>
      <c r="W1038" t="s">
        <v>70</v>
      </c>
      <c r="X1038" t="s">
        <v>211</v>
      </c>
      <c r="Y1038" t="s">
        <v>935</v>
      </c>
    </row>
    <row r="1039" spans="1:25">
      <c r="A1039">
        <v>13529</v>
      </c>
      <c r="B1039" t="s">
        <v>25</v>
      </c>
      <c r="C1039" t="str">
        <f t="shared" si="33"/>
        <v>INTEGRA Saloon</v>
      </c>
      <c r="D1039" t="str">
        <f t="shared" si="32"/>
        <v>1.6</v>
      </c>
      <c r="E1039" t="s">
        <v>26</v>
      </c>
      <c r="F1039">
        <v>198501</v>
      </c>
      <c r="G1039">
        <v>199012</v>
      </c>
      <c r="H1039">
        <v>74</v>
      </c>
      <c r="I1039">
        <v>100</v>
      </c>
      <c r="J1039">
        <v>1590</v>
      </c>
      <c r="K1039">
        <v>1140787</v>
      </c>
      <c r="L1039" t="s">
        <v>659</v>
      </c>
      <c r="M1039" t="str">
        <f>"705110"</f>
        <v>705110</v>
      </c>
      <c r="N1039" t="str">
        <f>"705.110"</f>
        <v>705.110</v>
      </c>
      <c r="O1039" t="str">
        <f>""</f>
        <v/>
      </c>
      <c r="P1039" t="s">
        <v>936</v>
      </c>
      <c r="Q1039" t="str">
        <f>"4041248103142"</f>
        <v>4041248103142</v>
      </c>
      <c r="R1039" t="s">
        <v>937</v>
      </c>
      <c r="T1039" t="s">
        <v>938</v>
      </c>
      <c r="U1039">
        <v>455</v>
      </c>
      <c r="V1039" t="s">
        <v>936</v>
      </c>
      <c r="W1039" t="s">
        <v>640</v>
      </c>
      <c r="X1039" t="s">
        <v>71</v>
      </c>
      <c r="Y1039" t="s">
        <v>939</v>
      </c>
    </row>
    <row r="1040" spans="1:25">
      <c r="A1040">
        <v>13529</v>
      </c>
      <c r="B1040" t="s">
        <v>25</v>
      </c>
      <c r="C1040" t="str">
        <f t="shared" si="33"/>
        <v>INTEGRA Saloon</v>
      </c>
      <c r="D1040" t="str">
        <f t="shared" si="32"/>
        <v>1.6</v>
      </c>
      <c r="E1040" t="s">
        <v>26</v>
      </c>
      <c r="F1040">
        <v>198501</v>
      </c>
      <c r="G1040">
        <v>199012</v>
      </c>
      <c r="H1040">
        <v>74</v>
      </c>
      <c r="I1040">
        <v>100</v>
      </c>
      <c r="J1040">
        <v>1590</v>
      </c>
      <c r="K1040">
        <v>4130164</v>
      </c>
      <c r="L1040" t="s">
        <v>1291</v>
      </c>
      <c r="M1040" t="str">
        <f>"OP4344"</f>
        <v>OP4344</v>
      </c>
      <c r="N1040" t="str">
        <f>"OP4344"</f>
        <v>OP4344</v>
      </c>
      <c r="O1040" t="str">
        <f>""</f>
        <v/>
      </c>
      <c r="P1040" t="s">
        <v>936</v>
      </c>
      <c r="Q1040" t="str">
        <f>""</f>
        <v/>
      </c>
      <c r="R1040" t="s">
        <v>1408</v>
      </c>
      <c r="S1040" t="s">
        <v>1293</v>
      </c>
      <c r="T1040" s="1" t="s">
        <v>1409</v>
      </c>
      <c r="U1040">
        <v>455</v>
      </c>
      <c r="V1040" t="s">
        <v>936</v>
      </c>
      <c r="W1040" t="s">
        <v>640</v>
      </c>
      <c r="X1040" t="s">
        <v>71</v>
      </c>
      <c r="Y1040" t="s">
        <v>939</v>
      </c>
    </row>
    <row r="1041" spans="1:25">
      <c r="A1041">
        <v>13529</v>
      </c>
      <c r="B1041" t="s">
        <v>25</v>
      </c>
      <c r="C1041" t="str">
        <f t="shared" si="33"/>
        <v>INTEGRA Saloon</v>
      </c>
      <c r="D1041" t="str">
        <f t="shared" si="32"/>
        <v>1.6</v>
      </c>
      <c r="E1041" t="s">
        <v>26</v>
      </c>
      <c r="F1041">
        <v>198501</v>
      </c>
      <c r="G1041">
        <v>199012</v>
      </c>
      <c r="H1041">
        <v>74</v>
      </c>
      <c r="I1041">
        <v>100</v>
      </c>
      <c r="J1041">
        <v>1590</v>
      </c>
      <c r="K1041">
        <v>1955577</v>
      </c>
      <c r="L1041" t="s">
        <v>945</v>
      </c>
      <c r="M1041" t="str">
        <f>"100750N"</f>
        <v>100750N</v>
      </c>
      <c r="N1041" t="str">
        <f>"100750N"</f>
        <v>100750N</v>
      </c>
      <c r="O1041" t="str">
        <f>""</f>
        <v/>
      </c>
      <c r="P1041" t="s">
        <v>946</v>
      </c>
      <c r="Q1041" t="str">
        <f>"4044455177654"</f>
        <v>4044455177654</v>
      </c>
      <c r="R1041" t="s">
        <v>947</v>
      </c>
      <c r="T1041" s="1" t="s">
        <v>948</v>
      </c>
      <c r="U1041">
        <v>470</v>
      </c>
      <c r="V1041" t="s">
        <v>946</v>
      </c>
      <c r="W1041" t="s">
        <v>949</v>
      </c>
      <c r="X1041" t="s">
        <v>626</v>
      </c>
      <c r="Y1041" t="s">
        <v>950</v>
      </c>
    </row>
    <row r="1042" spans="1:25">
      <c r="A1042">
        <v>13529</v>
      </c>
      <c r="B1042" t="s">
        <v>25</v>
      </c>
      <c r="C1042" t="str">
        <f t="shared" si="33"/>
        <v>INTEGRA Saloon</v>
      </c>
      <c r="D1042" t="str">
        <f t="shared" si="32"/>
        <v>1.6</v>
      </c>
      <c r="E1042" t="s">
        <v>26</v>
      </c>
      <c r="F1042">
        <v>198501</v>
      </c>
      <c r="G1042">
        <v>199012</v>
      </c>
      <c r="H1042">
        <v>74</v>
      </c>
      <c r="I1042">
        <v>100</v>
      </c>
      <c r="J1042">
        <v>1590</v>
      </c>
      <c r="K1042">
        <v>3016156</v>
      </c>
      <c r="L1042" t="s">
        <v>951</v>
      </c>
      <c r="M1042" t="str">
        <f>"HD2038"</f>
        <v>HD2038</v>
      </c>
      <c r="N1042" t="str">
        <f>"HD2038"</f>
        <v>HD2038</v>
      </c>
      <c r="O1042" t="str">
        <f>""</f>
        <v/>
      </c>
      <c r="P1042" t="s">
        <v>946</v>
      </c>
      <c r="Q1042" t="str">
        <f>"4045385022663"</f>
        <v>4045385022663</v>
      </c>
      <c r="R1042" t="s">
        <v>952</v>
      </c>
      <c r="S1042" t="s">
        <v>953</v>
      </c>
      <c r="T1042" s="1" t="s">
        <v>954</v>
      </c>
      <c r="U1042">
        <v>470</v>
      </c>
      <c r="V1042" t="s">
        <v>946</v>
      </c>
      <c r="W1042" t="s">
        <v>949</v>
      </c>
      <c r="X1042" t="s">
        <v>626</v>
      </c>
      <c r="Y1042" t="s">
        <v>950</v>
      </c>
    </row>
    <row r="1043" spans="1:25">
      <c r="A1043">
        <v>13529</v>
      </c>
      <c r="B1043" t="s">
        <v>25</v>
      </c>
      <c r="C1043" t="str">
        <f t="shared" si="33"/>
        <v>INTEGRA Saloon</v>
      </c>
      <c r="D1043" t="str">
        <f t="shared" si="32"/>
        <v>1.6</v>
      </c>
      <c r="E1043" t="s">
        <v>26</v>
      </c>
      <c r="F1043">
        <v>198501</v>
      </c>
      <c r="G1043">
        <v>199012</v>
      </c>
      <c r="H1043">
        <v>74</v>
      </c>
      <c r="I1043">
        <v>100</v>
      </c>
      <c r="J1043">
        <v>1590</v>
      </c>
      <c r="K1043">
        <v>3016157</v>
      </c>
      <c r="L1043" t="s">
        <v>951</v>
      </c>
      <c r="M1043" t="str">
        <f>"HD2039"</f>
        <v>HD2039</v>
      </c>
      <c r="N1043" t="str">
        <f>"HD2039"</f>
        <v>HD2039</v>
      </c>
      <c r="O1043" t="str">
        <f>""</f>
        <v/>
      </c>
      <c r="P1043" t="s">
        <v>946</v>
      </c>
      <c r="Q1043" t="str">
        <f>"4045385022670"</f>
        <v>4045385022670</v>
      </c>
      <c r="R1043" t="s">
        <v>952</v>
      </c>
      <c r="S1043" t="s">
        <v>955</v>
      </c>
      <c r="T1043" s="1" t="s">
        <v>956</v>
      </c>
      <c r="U1043">
        <v>470</v>
      </c>
      <c r="V1043" t="s">
        <v>946</v>
      </c>
      <c r="W1043" t="s">
        <v>949</v>
      </c>
      <c r="X1043" t="s">
        <v>626</v>
      </c>
      <c r="Y1043" t="s">
        <v>950</v>
      </c>
    </row>
    <row r="1044" spans="1:25">
      <c r="A1044">
        <v>13529</v>
      </c>
      <c r="B1044" t="s">
        <v>25</v>
      </c>
      <c r="C1044" t="str">
        <f t="shared" si="33"/>
        <v>INTEGRA Saloon</v>
      </c>
      <c r="D1044" t="str">
        <f t="shared" si="32"/>
        <v>1.6</v>
      </c>
      <c r="E1044" t="s">
        <v>26</v>
      </c>
      <c r="F1044">
        <v>198501</v>
      </c>
      <c r="G1044">
        <v>199012</v>
      </c>
      <c r="H1044">
        <v>74</v>
      </c>
      <c r="I1044">
        <v>100</v>
      </c>
      <c r="J1044">
        <v>1590</v>
      </c>
      <c r="K1044">
        <v>3496594</v>
      </c>
      <c r="L1044" t="s">
        <v>957</v>
      </c>
      <c r="M1044" t="str">
        <f>"HD2038"</f>
        <v>HD2038</v>
      </c>
      <c r="N1044" t="str">
        <f>"HD2038"</f>
        <v>HD2038</v>
      </c>
      <c r="O1044" t="str">
        <f>""</f>
        <v/>
      </c>
      <c r="P1044" t="s">
        <v>946</v>
      </c>
      <c r="Q1044" t="str">
        <f>"4045385022663"</f>
        <v>4045385022663</v>
      </c>
      <c r="R1044" t="s">
        <v>952</v>
      </c>
      <c r="S1044" t="s">
        <v>953</v>
      </c>
      <c r="T1044" s="1" t="s">
        <v>954</v>
      </c>
      <c r="U1044">
        <v>470</v>
      </c>
      <c r="V1044" t="s">
        <v>946</v>
      </c>
      <c r="W1044" t="s">
        <v>949</v>
      </c>
      <c r="X1044" t="s">
        <v>626</v>
      </c>
      <c r="Y1044" t="s">
        <v>950</v>
      </c>
    </row>
    <row r="1045" spans="1:25">
      <c r="A1045">
        <v>13529</v>
      </c>
      <c r="B1045" t="s">
        <v>25</v>
      </c>
      <c r="C1045" t="str">
        <f t="shared" si="33"/>
        <v>INTEGRA Saloon</v>
      </c>
      <c r="D1045" t="str">
        <f t="shared" si="32"/>
        <v>1.6</v>
      </c>
      <c r="E1045" t="s">
        <v>26</v>
      </c>
      <c r="F1045">
        <v>198501</v>
      </c>
      <c r="G1045">
        <v>199012</v>
      </c>
      <c r="H1045">
        <v>74</v>
      </c>
      <c r="I1045">
        <v>100</v>
      </c>
      <c r="J1045">
        <v>1590</v>
      </c>
      <c r="K1045">
        <v>3496595</v>
      </c>
      <c r="L1045" t="s">
        <v>957</v>
      </c>
      <c r="M1045" t="str">
        <f>"HD2039"</f>
        <v>HD2039</v>
      </c>
      <c r="N1045" t="str">
        <f>"HD2039"</f>
        <v>HD2039</v>
      </c>
      <c r="O1045" t="str">
        <f>""</f>
        <v/>
      </c>
      <c r="P1045" t="s">
        <v>946</v>
      </c>
      <c r="Q1045" t="str">
        <f>"4045385022670"</f>
        <v>4045385022670</v>
      </c>
      <c r="R1045" t="s">
        <v>952</v>
      </c>
      <c r="S1045" t="s">
        <v>955</v>
      </c>
      <c r="T1045" s="1" t="s">
        <v>956</v>
      </c>
      <c r="U1045">
        <v>470</v>
      </c>
      <c r="V1045" t="s">
        <v>946</v>
      </c>
      <c r="W1045" t="s">
        <v>949</v>
      </c>
      <c r="X1045" t="s">
        <v>626</v>
      </c>
      <c r="Y1045" t="s">
        <v>950</v>
      </c>
    </row>
    <row r="1046" spans="1:25">
      <c r="A1046">
        <v>13529</v>
      </c>
      <c r="B1046" t="s">
        <v>25</v>
      </c>
      <c r="C1046" t="str">
        <f t="shared" si="33"/>
        <v>INTEGRA Saloon</v>
      </c>
      <c r="D1046" t="str">
        <f t="shared" si="32"/>
        <v>1.6</v>
      </c>
      <c r="E1046" t="s">
        <v>26</v>
      </c>
      <c r="F1046">
        <v>198501</v>
      </c>
      <c r="G1046">
        <v>199012</v>
      </c>
      <c r="H1046">
        <v>74</v>
      </c>
      <c r="I1046">
        <v>100</v>
      </c>
      <c r="J1046">
        <v>1590</v>
      </c>
      <c r="K1046">
        <v>116529</v>
      </c>
      <c r="L1046" t="s">
        <v>199</v>
      </c>
      <c r="M1046" t="str">
        <f>"954541"</f>
        <v>954541</v>
      </c>
      <c r="N1046" t="str">
        <f>"954541"</f>
        <v>954541</v>
      </c>
      <c r="O1046" t="str">
        <f>""</f>
        <v/>
      </c>
      <c r="P1046" t="s">
        <v>969</v>
      </c>
      <c r="Q1046" t="str">
        <f>"8717012006532"</f>
        <v>8717012006532</v>
      </c>
      <c r="R1046" t="s">
        <v>1410</v>
      </c>
      <c r="T1046" t="s">
        <v>1411</v>
      </c>
      <c r="U1046">
        <v>479</v>
      </c>
      <c r="V1046" t="s">
        <v>969</v>
      </c>
      <c r="W1046" t="s">
        <v>969</v>
      </c>
      <c r="X1046" t="s">
        <v>204</v>
      </c>
    </row>
    <row r="1047" spans="1:25">
      <c r="A1047">
        <v>13529</v>
      </c>
      <c r="B1047" t="s">
        <v>25</v>
      </c>
      <c r="C1047" t="str">
        <f t="shared" si="33"/>
        <v>INTEGRA Saloon</v>
      </c>
      <c r="D1047" t="str">
        <f t="shared" si="32"/>
        <v>1.6</v>
      </c>
      <c r="E1047" t="s">
        <v>26</v>
      </c>
      <c r="F1047">
        <v>198501</v>
      </c>
      <c r="G1047">
        <v>199012</v>
      </c>
      <c r="H1047">
        <v>74</v>
      </c>
      <c r="I1047">
        <v>100</v>
      </c>
      <c r="J1047">
        <v>1590</v>
      </c>
      <c r="K1047">
        <v>228195</v>
      </c>
      <c r="L1047" t="s">
        <v>1305</v>
      </c>
      <c r="M1047" t="str">
        <f>"620054760"</f>
        <v>620054760</v>
      </c>
      <c r="N1047" t="str">
        <f>"620 0547 60"</f>
        <v>620 0547 60</v>
      </c>
      <c r="O1047" t="str">
        <f>""</f>
        <v/>
      </c>
      <c r="P1047" t="s">
        <v>969</v>
      </c>
      <c r="Q1047" t="str">
        <f>"4005108088949"</f>
        <v>4005108088949</v>
      </c>
      <c r="R1047" t="s">
        <v>1412</v>
      </c>
      <c r="T1047" s="1" t="s">
        <v>1413</v>
      </c>
      <c r="U1047">
        <v>479</v>
      </c>
      <c r="V1047" t="s">
        <v>969</v>
      </c>
      <c r="W1047" t="s">
        <v>969</v>
      </c>
      <c r="X1047" t="s">
        <v>204</v>
      </c>
    </row>
    <row r="1048" spans="1:25">
      <c r="A1048">
        <v>13529</v>
      </c>
      <c r="B1048" t="s">
        <v>25</v>
      </c>
      <c r="C1048" t="str">
        <f t="shared" si="33"/>
        <v>INTEGRA Saloon</v>
      </c>
      <c r="D1048" t="str">
        <f t="shared" si="32"/>
        <v>1.6</v>
      </c>
      <c r="E1048" t="s">
        <v>26</v>
      </c>
      <c r="F1048">
        <v>198501</v>
      </c>
      <c r="G1048">
        <v>199012</v>
      </c>
      <c r="H1048">
        <v>74</v>
      </c>
      <c r="I1048">
        <v>100</v>
      </c>
      <c r="J1048">
        <v>1590</v>
      </c>
      <c r="K1048">
        <v>582057</v>
      </c>
      <c r="L1048" t="s">
        <v>1304</v>
      </c>
      <c r="M1048" t="str">
        <f>"JT8546"</f>
        <v>JT8546</v>
      </c>
      <c r="N1048" t="str">
        <f>"JT8546"</f>
        <v>JT8546</v>
      </c>
      <c r="O1048" t="str">
        <f>""</f>
        <v/>
      </c>
      <c r="P1048" t="s">
        <v>969</v>
      </c>
      <c r="Q1048" t="str">
        <f>""</f>
        <v/>
      </c>
      <c r="R1048" t="s">
        <v>1414</v>
      </c>
      <c r="S1048" t="s">
        <v>1415</v>
      </c>
      <c r="T1048" t="s">
        <v>1416</v>
      </c>
      <c r="U1048">
        <v>479</v>
      </c>
      <c r="V1048" t="s">
        <v>969</v>
      </c>
      <c r="W1048" t="s">
        <v>969</v>
      </c>
      <c r="X1048" t="s">
        <v>204</v>
      </c>
    </row>
    <row r="1049" spans="1:25">
      <c r="A1049">
        <v>13529</v>
      </c>
      <c r="B1049" t="s">
        <v>25</v>
      </c>
      <c r="C1049" t="str">
        <f t="shared" si="33"/>
        <v>INTEGRA Saloon</v>
      </c>
      <c r="D1049" t="str">
        <f t="shared" si="32"/>
        <v>1.6</v>
      </c>
      <c r="E1049" t="s">
        <v>26</v>
      </c>
      <c r="F1049">
        <v>198501</v>
      </c>
      <c r="G1049">
        <v>199012</v>
      </c>
      <c r="H1049">
        <v>74</v>
      </c>
      <c r="I1049">
        <v>100</v>
      </c>
      <c r="J1049">
        <v>1590</v>
      </c>
      <c r="K1049">
        <v>790132</v>
      </c>
      <c r="L1049" t="s">
        <v>1119</v>
      </c>
      <c r="M1049" t="str">
        <f>"HK8546"</f>
        <v>HK8546</v>
      </c>
      <c r="N1049" t="str">
        <f>"HK8546"</f>
        <v>HK8546</v>
      </c>
      <c r="O1049" t="str">
        <f>""</f>
        <v/>
      </c>
      <c r="P1049" t="s">
        <v>969</v>
      </c>
      <c r="Q1049" t="str">
        <f>""</f>
        <v/>
      </c>
      <c r="R1049" t="s">
        <v>1417</v>
      </c>
      <c r="T1049" s="1" t="s">
        <v>1418</v>
      </c>
      <c r="U1049">
        <v>479</v>
      </c>
      <c r="V1049" t="s">
        <v>969</v>
      </c>
      <c r="W1049" t="s">
        <v>969</v>
      </c>
      <c r="X1049" t="s">
        <v>204</v>
      </c>
    </row>
    <row r="1050" spans="1:25">
      <c r="A1050">
        <v>13529</v>
      </c>
      <c r="B1050" t="s">
        <v>25</v>
      </c>
      <c r="C1050" t="str">
        <f t="shared" si="33"/>
        <v>INTEGRA Saloon</v>
      </c>
      <c r="D1050" t="str">
        <f t="shared" si="32"/>
        <v>1.6</v>
      </c>
      <c r="E1050" t="s">
        <v>26</v>
      </c>
      <c r="F1050">
        <v>198501</v>
      </c>
      <c r="G1050">
        <v>199012</v>
      </c>
      <c r="H1050">
        <v>74</v>
      </c>
      <c r="I1050">
        <v>100</v>
      </c>
      <c r="J1050">
        <v>1590</v>
      </c>
      <c r="K1050">
        <v>1238589</v>
      </c>
      <c r="L1050" t="s">
        <v>66</v>
      </c>
      <c r="M1050" t="str">
        <f>"009214"</f>
        <v>009214</v>
      </c>
      <c r="N1050" t="str">
        <f>"009214"</f>
        <v>009214</v>
      </c>
      <c r="O1050" t="str">
        <f>"9214"</f>
        <v>9214</v>
      </c>
      <c r="P1050" t="s">
        <v>969</v>
      </c>
      <c r="Q1050" t="str">
        <f>"3276420092148"</f>
        <v>3276420092148</v>
      </c>
      <c r="R1050" t="s">
        <v>1419</v>
      </c>
      <c r="T1050" t="s">
        <v>1420</v>
      </c>
      <c r="U1050">
        <v>479</v>
      </c>
      <c r="V1050" t="s">
        <v>969</v>
      </c>
      <c r="W1050" t="s">
        <v>969</v>
      </c>
      <c r="X1050" t="s">
        <v>204</v>
      </c>
    </row>
    <row r="1051" spans="1:25">
      <c r="A1051">
        <v>13529</v>
      </c>
      <c r="B1051" t="s">
        <v>25</v>
      </c>
      <c r="C1051" t="str">
        <f t="shared" si="33"/>
        <v>INTEGRA Saloon</v>
      </c>
      <c r="D1051" t="str">
        <f t="shared" si="32"/>
        <v>1.6</v>
      </c>
      <c r="E1051" t="s">
        <v>26</v>
      </c>
      <c r="F1051">
        <v>198501</v>
      </c>
      <c r="G1051">
        <v>199012</v>
      </c>
      <c r="H1051">
        <v>74</v>
      </c>
      <c r="I1051">
        <v>100</v>
      </c>
      <c r="J1051">
        <v>1590</v>
      </c>
      <c r="K1051">
        <v>3027936</v>
      </c>
      <c r="L1051" t="s">
        <v>33</v>
      </c>
      <c r="M1051" t="str">
        <f>"J2004008"</f>
        <v>J2004008</v>
      </c>
      <c r="N1051" t="str">
        <f>"J2004008"</f>
        <v>J2004008</v>
      </c>
      <c r="O1051" t="str">
        <f>""</f>
        <v/>
      </c>
      <c r="P1051" t="s">
        <v>969</v>
      </c>
      <c r="Q1051" t="str">
        <f>"8711768041526"</f>
        <v>8711768041526</v>
      </c>
      <c r="R1051" t="s">
        <v>972</v>
      </c>
      <c r="T1051" t="s">
        <v>973</v>
      </c>
      <c r="U1051">
        <v>479</v>
      </c>
      <c r="V1051" t="s">
        <v>969</v>
      </c>
      <c r="W1051" t="s">
        <v>969</v>
      </c>
      <c r="X1051" t="s">
        <v>204</v>
      </c>
    </row>
    <row r="1052" spans="1:25">
      <c r="A1052">
        <v>13529</v>
      </c>
      <c r="B1052" t="s">
        <v>25</v>
      </c>
      <c r="C1052" t="str">
        <f t="shared" si="33"/>
        <v>INTEGRA Saloon</v>
      </c>
      <c r="D1052" t="str">
        <f t="shared" si="32"/>
        <v>1.6</v>
      </c>
      <c r="E1052" t="s">
        <v>26</v>
      </c>
      <c r="F1052">
        <v>198501</v>
      </c>
      <c r="G1052">
        <v>199012</v>
      </c>
      <c r="H1052">
        <v>74</v>
      </c>
      <c r="I1052">
        <v>100</v>
      </c>
      <c r="J1052">
        <v>1590</v>
      </c>
      <c r="K1052">
        <v>3852957</v>
      </c>
      <c r="L1052" t="s">
        <v>1231</v>
      </c>
      <c r="M1052" t="str">
        <f>"LKCA800002"</f>
        <v>LKCA800002</v>
      </c>
      <c r="N1052" t="str">
        <f>"LKCA800002"</f>
        <v>LKCA800002</v>
      </c>
      <c r="O1052" t="str">
        <f>""</f>
        <v/>
      </c>
      <c r="P1052" t="s">
        <v>969</v>
      </c>
      <c r="Q1052" t="str">
        <f>"3275591609940"</f>
        <v>3275591609940</v>
      </c>
      <c r="R1052" t="s">
        <v>1421</v>
      </c>
      <c r="T1052" t="s">
        <v>1422</v>
      </c>
      <c r="U1052">
        <v>479</v>
      </c>
      <c r="V1052" t="s">
        <v>969</v>
      </c>
      <c r="W1052" t="s">
        <v>969</v>
      </c>
      <c r="X1052" t="s">
        <v>204</v>
      </c>
    </row>
    <row r="1053" spans="1:25">
      <c r="A1053">
        <v>13529</v>
      </c>
      <c r="B1053" t="s">
        <v>25</v>
      </c>
      <c r="C1053" t="str">
        <f t="shared" si="33"/>
        <v>INTEGRA Saloon</v>
      </c>
      <c r="D1053" t="str">
        <f t="shared" si="32"/>
        <v>1.6</v>
      </c>
      <c r="E1053" t="s">
        <v>26</v>
      </c>
      <c r="F1053">
        <v>198501</v>
      </c>
      <c r="G1053">
        <v>199012</v>
      </c>
      <c r="H1053">
        <v>74</v>
      </c>
      <c r="I1053">
        <v>100</v>
      </c>
      <c r="J1053">
        <v>1590</v>
      </c>
      <c r="K1053">
        <v>1534993</v>
      </c>
      <c r="L1053" t="s">
        <v>173</v>
      </c>
      <c r="M1053" t="str">
        <f>"RC132"</f>
        <v>RC132</v>
      </c>
      <c r="N1053" t="str">
        <f>"RC132"</f>
        <v>RC132</v>
      </c>
      <c r="O1053" t="str">
        <f>""</f>
        <v/>
      </c>
      <c r="P1053" t="s">
        <v>976</v>
      </c>
      <c r="Q1053" t="str">
        <f>"5414465700866"</f>
        <v>5414465700866</v>
      </c>
      <c r="R1053" t="s">
        <v>977</v>
      </c>
      <c r="T1053" t="s">
        <v>1423</v>
      </c>
      <c r="U1053">
        <v>548</v>
      </c>
      <c r="V1053" t="s">
        <v>976</v>
      </c>
      <c r="W1053" t="s">
        <v>979</v>
      </c>
      <c r="X1053" t="s">
        <v>626</v>
      </c>
      <c r="Y1053" t="s">
        <v>976</v>
      </c>
    </row>
    <row r="1054" spans="1:25">
      <c r="A1054">
        <v>13529</v>
      </c>
      <c r="B1054" t="s">
        <v>25</v>
      </c>
      <c r="C1054" t="str">
        <f t="shared" si="33"/>
        <v>INTEGRA Saloon</v>
      </c>
      <c r="D1054" t="str">
        <f t="shared" si="32"/>
        <v>1.6</v>
      </c>
      <c r="E1054" t="s">
        <v>26</v>
      </c>
      <c r="F1054">
        <v>198501</v>
      </c>
      <c r="G1054">
        <v>199012</v>
      </c>
      <c r="H1054">
        <v>74</v>
      </c>
      <c r="I1054">
        <v>100</v>
      </c>
      <c r="J1054">
        <v>1590</v>
      </c>
      <c r="K1054">
        <v>3027660</v>
      </c>
      <c r="L1054" t="s">
        <v>33</v>
      </c>
      <c r="M1054" t="str">
        <f>"J1545000"</f>
        <v>J1545000</v>
      </c>
      <c r="N1054" t="str">
        <f>"J1545000"</f>
        <v>J1545000</v>
      </c>
      <c r="O1054" t="str">
        <f>""</f>
        <v/>
      </c>
      <c r="P1054" t="s">
        <v>980</v>
      </c>
      <c r="Q1054" t="str">
        <f>"8711768039523"</f>
        <v>8711768039523</v>
      </c>
      <c r="R1054" t="s">
        <v>981</v>
      </c>
      <c r="T1054" s="1" t="s">
        <v>982</v>
      </c>
      <c r="U1054">
        <v>549</v>
      </c>
      <c r="V1054" t="s">
        <v>980</v>
      </c>
      <c r="W1054" t="s">
        <v>983</v>
      </c>
      <c r="X1054" t="s">
        <v>626</v>
      </c>
      <c r="Y1054" t="s">
        <v>976</v>
      </c>
    </row>
    <row r="1055" spans="1:25">
      <c r="A1055">
        <v>13529</v>
      </c>
      <c r="B1055" t="s">
        <v>25</v>
      </c>
      <c r="C1055" t="str">
        <f t="shared" si="33"/>
        <v>INTEGRA Saloon</v>
      </c>
      <c r="D1055" t="str">
        <f t="shared" si="32"/>
        <v>1.6</v>
      </c>
      <c r="E1055" t="s">
        <v>26</v>
      </c>
      <c r="F1055">
        <v>198501</v>
      </c>
      <c r="G1055">
        <v>199012</v>
      </c>
      <c r="H1055">
        <v>74</v>
      </c>
      <c r="I1055">
        <v>100</v>
      </c>
      <c r="J1055">
        <v>1590</v>
      </c>
      <c r="K1055">
        <v>836363</v>
      </c>
      <c r="L1055" t="s">
        <v>1291</v>
      </c>
      <c r="M1055" t="str">
        <f>"OS2323"</f>
        <v>OS2323</v>
      </c>
      <c r="N1055" t="str">
        <f>"OS2323"</f>
        <v>OS2323</v>
      </c>
      <c r="O1055" t="str">
        <f>""</f>
        <v/>
      </c>
      <c r="P1055" t="s">
        <v>984</v>
      </c>
      <c r="Q1055" t="str">
        <f>""</f>
        <v/>
      </c>
      <c r="R1055" t="s">
        <v>1424</v>
      </c>
      <c r="S1055" t="s">
        <v>1293</v>
      </c>
      <c r="T1055" s="1" t="s">
        <v>1425</v>
      </c>
      <c r="U1055">
        <v>572</v>
      </c>
      <c r="V1055" t="s">
        <v>984</v>
      </c>
      <c r="W1055" t="s">
        <v>987</v>
      </c>
      <c r="X1055" t="s">
        <v>988</v>
      </c>
      <c r="Y1055" t="s">
        <v>989</v>
      </c>
    </row>
    <row r="1056" spans="1:25">
      <c r="A1056">
        <v>13529</v>
      </c>
      <c r="B1056" t="s">
        <v>25</v>
      </c>
      <c r="C1056" t="str">
        <f t="shared" si="33"/>
        <v>INTEGRA Saloon</v>
      </c>
      <c r="D1056" t="str">
        <f t="shared" si="32"/>
        <v>1.6</v>
      </c>
      <c r="E1056" t="s">
        <v>26</v>
      </c>
      <c r="F1056">
        <v>198501</v>
      </c>
      <c r="G1056">
        <v>199012</v>
      </c>
      <c r="H1056">
        <v>74</v>
      </c>
      <c r="I1056">
        <v>100</v>
      </c>
      <c r="J1056">
        <v>1590</v>
      </c>
      <c r="K1056">
        <v>836365</v>
      </c>
      <c r="L1056" t="s">
        <v>1291</v>
      </c>
      <c r="M1056" t="str">
        <f>"OS2326"</f>
        <v>OS2326</v>
      </c>
      <c r="N1056" t="str">
        <f>"OS2326"</f>
        <v>OS2326</v>
      </c>
      <c r="O1056" t="str">
        <f>""</f>
        <v/>
      </c>
      <c r="P1056" t="s">
        <v>984</v>
      </c>
      <c r="Q1056" t="str">
        <f>""</f>
        <v/>
      </c>
      <c r="R1056" t="s">
        <v>1426</v>
      </c>
      <c r="S1056" t="s">
        <v>1427</v>
      </c>
      <c r="T1056" t="s">
        <v>1428</v>
      </c>
      <c r="U1056">
        <v>572</v>
      </c>
      <c r="V1056" t="s">
        <v>984</v>
      </c>
      <c r="W1056" t="s">
        <v>987</v>
      </c>
      <c r="X1056" t="s">
        <v>988</v>
      </c>
      <c r="Y1056" t="s">
        <v>989</v>
      </c>
    </row>
    <row r="1057" spans="1:25">
      <c r="A1057">
        <v>13529</v>
      </c>
      <c r="B1057" t="s">
        <v>25</v>
      </c>
      <c r="C1057" t="str">
        <f t="shared" si="33"/>
        <v>INTEGRA Saloon</v>
      </c>
      <c r="D1057" t="str">
        <f t="shared" si="32"/>
        <v>1.6</v>
      </c>
      <c r="E1057" t="s">
        <v>26</v>
      </c>
      <c r="F1057">
        <v>198501</v>
      </c>
      <c r="G1057">
        <v>199012</v>
      </c>
      <c r="H1057">
        <v>74</v>
      </c>
      <c r="I1057">
        <v>100</v>
      </c>
      <c r="J1057">
        <v>1590</v>
      </c>
      <c r="K1057">
        <v>308992</v>
      </c>
      <c r="L1057" t="s">
        <v>990</v>
      </c>
      <c r="M1057" t="str">
        <f>"7143584STD"</f>
        <v>7143584STD</v>
      </c>
      <c r="N1057" t="str">
        <f>"71-4358/4 STD"</f>
        <v>71-4358/4 STD</v>
      </c>
      <c r="O1057" t="str">
        <f>""</f>
        <v/>
      </c>
      <c r="P1057" t="s">
        <v>991</v>
      </c>
      <c r="Q1057" t="str">
        <f>"4044197428243"</f>
        <v>4044197428243</v>
      </c>
      <c r="S1057" t="s">
        <v>1260</v>
      </c>
      <c r="U1057">
        <v>582</v>
      </c>
      <c r="V1057" t="s">
        <v>991</v>
      </c>
      <c r="W1057" t="s">
        <v>203</v>
      </c>
      <c r="X1057" t="s">
        <v>988</v>
      </c>
      <c r="Y1057" t="s">
        <v>994</v>
      </c>
    </row>
    <row r="1058" spans="1:25">
      <c r="A1058">
        <v>13529</v>
      </c>
      <c r="B1058" t="s">
        <v>25</v>
      </c>
      <c r="C1058" t="str">
        <f t="shared" si="33"/>
        <v>INTEGRA Saloon</v>
      </c>
      <c r="D1058" t="str">
        <f t="shared" si="32"/>
        <v>1.6</v>
      </c>
      <c r="E1058" t="s">
        <v>26</v>
      </c>
      <c r="F1058">
        <v>198501</v>
      </c>
      <c r="G1058">
        <v>199012</v>
      </c>
      <c r="H1058">
        <v>74</v>
      </c>
      <c r="I1058">
        <v>100</v>
      </c>
      <c r="J1058">
        <v>1590</v>
      </c>
      <c r="K1058">
        <v>4828036</v>
      </c>
      <c r="L1058" t="s">
        <v>995</v>
      </c>
      <c r="M1058" t="str">
        <f>"WG1185701"</f>
        <v>WG1185701</v>
      </c>
      <c r="N1058" t="str">
        <f>"WG1185701"</f>
        <v>WG1185701</v>
      </c>
      <c r="O1058" t="str">
        <f>""</f>
        <v/>
      </c>
      <c r="P1058" t="s">
        <v>991</v>
      </c>
      <c r="Q1058" t="str">
        <f>"4044197428243"</f>
        <v>4044197428243</v>
      </c>
      <c r="S1058" t="s">
        <v>1260</v>
      </c>
      <c r="U1058">
        <v>582</v>
      </c>
      <c r="V1058" t="s">
        <v>991</v>
      </c>
      <c r="W1058" t="s">
        <v>203</v>
      </c>
      <c r="X1058" t="s">
        <v>988</v>
      </c>
      <c r="Y1058" t="s">
        <v>994</v>
      </c>
    </row>
    <row r="1059" spans="1:25">
      <c r="A1059">
        <v>13529</v>
      </c>
      <c r="B1059" t="s">
        <v>25</v>
      </c>
      <c r="C1059" t="str">
        <f t="shared" si="33"/>
        <v>INTEGRA Saloon</v>
      </c>
      <c r="D1059" t="str">
        <f t="shared" si="32"/>
        <v>1.6</v>
      </c>
      <c r="E1059" t="s">
        <v>26</v>
      </c>
      <c r="F1059">
        <v>198501</v>
      </c>
      <c r="G1059">
        <v>199012</v>
      </c>
      <c r="H1059">
        <v>74</v>
      </c>
      <c r="I1059">
        <v>100</v>
      </c>
      <c r="J1059">
        <v>1590</v>
      </c>
      <c r="K1059">
        <v>4666100</v>
      </c>
      <c r="L1059" t="s">
        <v>997</v>
      </c>
      <c r="M1059" t="str">
        <f>"PHU3050"</f>
        <v>PHU3050</v>
      </c>
      <c r="N1059" t="str">
        <f>"PHU3050"</f>
        <v>PHU3050</v>
      </c>
      <c r="O1059" t="str">
        <f>""</f>
        <v/>
      </c>
      <c r="P1059" t="s">
        <v>998</v>
      </c>
      <c r="Q1059" t="str">
        <f>""</f>
        <v/>
      </c>
      <c r="R1059" t="s">
        <v>999</v>
      </c>
      <c r="T1059" t="s">
        <v>1000</v>
      </c>
      <c r="U1059">
        <v>653</v>
      </c>
      <c r="V1059" t="s">
        <v>998</v>
      </c>
      <c r="W1059" t="s">
        <v>998</v>
      </c>
      <c r="X1059" t="s">
        <v>497</v>
      </c>
    </row>
    <row r="1060" spans="1:25">
      <c r="A1060">
        <v>13529</v>
      </c>
      <c r="B1060" t="s">
        <v>25</v>
      </c>
      <c r="C1060" t="str">
        <f t="shared" si="33"/>
        <v>INTEGRA Saloon</v>
      </c>
      <c r="D1060" t="str">
        <f t="shared" si="32"/>
        <v>1.6</v>
      </c>
      <c r="E1060" t="s">
        <v>26</v>
      </c>
      <c r="F1060">
        <v>198501</v>
      </c>
      <c r="G1060">
        <v>199012</v>
      </c>
      <c r="H1060">
        <v>74</v>
      </c>
      <c r="I1060">
        <v>100</v>
      </c>
      <c r="J1060">
        <v>1590</v>
      </c>
      <c r="K1060">
        <v>2382630</v>
      </c>
      <c r="L1060" t="s">
        <v>144</v>
      </c>
      <c r="M1060" t="str">
        <f>"26506"</f>
        <v>26506</v>
      </c>
      <c r="N1060" t="str">
        <f>"26506"</f>
        <v>26506</v>
      </c>
      <c r="O1060" t="str">
        <f>""</f>
        <v/>
      </c>
      <c r="P1060" t="s">
        <v>1001</v>
      </c>
      <c r="Q1060" t="str">
        <f>"4043605102089"</f>
        <v>4043605102089</v>
      </c>
      <c r="R1060" t="s">
        <v>1002</v>
      </c>
      <c r="T1060" s="1" t="s">
        <v>1003</v>
      </c>
      <c r="U1060">
        <v>654</v>
      </c>
      <c r="V1060" t="s">
        <v>1001</v>
      </c>
      <c r="W1060" t="s">
        <v>1004</v>
      </c>
      <c r="X1060" t="s">
        <v>497</v>
      </c>
      <c r="Y1060" t="s">
        <v>998</v>
      </c>
    </row>
    <row r="1061" spans="1:25">
      <c r="A1061">
        <v>13529</v>
      </c>
      <c r="B1061" t="s">
        <v>25</v>
      </c>
      <c r="C1061" t="str">
        <f t="shared" si="33"/>
        <v>INTEGRA Saloon</v>
      </c>
      <c r="D1061" t="str">
        <f t="shared" si="32"/>
        <v>1.6</v>
      </c>
      <c r="E1061" t="s">
        <v>26</v>
      </c>
      <c r="F1061">
        <v>198501</v>
      </c>
      <c r="G1061">
        <v>199012</v>
      </c>
      <c r="H1061">
        <v>74</v>
      </c>
      <c r="I1061">
        <v>100</v>
      </c>
      <c r="J1061">
        <v>1590</v>
      </c>
      <c r="K1061">
        <v>2382638</v>
      </c>
      <c r="L1061" t="s">
        <v>144</v>
      </c>
      <c r="M1061" t="str">
        <f>"26513"</f>
        <v>26513</v>
      </c>
      <c r="N1061" t="str">
        <f>"26513"</f>
        <v>26513</v>
      </c>
      <c r="O1061" t="str">
        <f>""</f>
        <v/>
      </c>
      <c r="P1061" t="s">
        <v>1001</v>
      </c>
      <c r="Q1061" t="str">
        <f>"4043605113023"</f>
        <v>4043605113023</v>
      </c>
      <c r="R1061" t="s">
        <v>1005</v>
      </c>
      <c r="S1061" t="s">
        <v>1006</v>
      </c>
      <c r="T1061" s="1" t="s">
        <v>1007</v>
      </c>
      <c r="U1061">
        <v>654</v>
      </c>
      <c r="V1061" t="s">
        <v>1001</v>
      </c>
      <c r="W1061" t="s">
        <v>1004</v>
      </c>
      <c r="X1061" t="s">
        <v>497</v>
      </c>
      <c r="Y1061" t="s">
        <v>998</v>
      </c>
    </row>
    <row r="1062" spans="1:25">
      <c r="A1062">
        <v>13529</v>
      </c>
      <c r="B1062" t="s">
        <v>25</v>
      </c>
      <c r="C1062" t="str">
        <f t="shared" si="33"/>
        <v>INTEGRA Saloon</v>
      </c>
      <c r="D1062" t="str">
        <f t="shared" si="32"/>
        <v>1.6</v>
      </c>
      <c r="E1062" t="s">
        <v>26</v>
      </c>
      <c r="F1062">
        <v>198501</v>
      </c>
      <c r="G1062">
        <v>199012</v>
      </c>
      <c r="H1062">
        <v>74</v>
      </c>
      <c r="I1062">
        <v>100</v>
      </c>
      <c r="J1062">
        <v>1590</v>
      </c>
      <c r="K1062">
        <v>3031614</v>
      </c>
      <c r="L1062" t="s">
        <v>33</v>
      </c>
      <c r="M1062" t="str">
        <f>"J4704012"</f>
        <v>J4704012</v>
      </c>
      <c r="N1062" t="str">
        <f>"J4704012"</f>
        <v>J4704012</v>
      </c>
      <c r="O1062" t="str">
        <f>""</f>
        <v/>
      </c>
      <c r="P1062" t="s">
        <v>1001</v>
      </c>
      <c r="Q1062" t="str">
        <f>"8711768061760"</f>
        <v>8711768061760</v>
      </c>
      <c r="R1062" t="s">
        <v>1008</v>
      </c>
      <c r="S1062" t="s">
        <v>392</v>
      </c>
      <c r="T1062" s="1" t="s">
        <v>1009</v>
      </c>
      <c r="U1062">
        <v>654</v>
      </c>
      <c r="V1062" t="s">
        <v>1001</v>
      </c>
      <c r="W1062" t="s">
        <v>1004</v>
      </c>
      <c r="X1062" t="s">
        <v>497</v>
      </c>
      <c r="Y1062" t="s">
        <v>998</v>
      </c>
    </row>
    <row r="1063" spans="1:25">
      <c r="A1063">
        <v>13529</v>
      </c>
      <c r="B1063" t="s">
        <v>25</v>
      </c>
      <c r="C1063" t="str">
        <f t="shared" si="33"/>
        <v>INTEGRA Saloon</v>
      </c>
      <c r="D1063" t="str">
        <f t="shared" si="32"/>
        <v>1.6</v>
      </c>
      <c r="E1063" t="s">
        <v>26</v>
      </c>
      <c r="F1063">
        <v>198501</v>
      </c>
      <c r="G1063">
        <v>199012</v>
      </c>
      <c r="H1063">
        <v>74</v>
      </c>
      <c r="I1063">
        <v>100</v>
      </c>
      <c r="J1063">
        <v>1590</v>
      </c>
      <c r="K1063">
        <v>3031804</v>
      </c>
      <c r="L1063" t="s">
        <v>33</v>
      </c>
      <c r="M1063" t="str">
        <f>"J4714007"</f>
        <v>J4714007</v>
      </c>
      <c r="N1063" t="str">
        <f>"J4714007"</f>
        <v>J4714007</v>
      </c>
      <c r="O1063" t="str">
        <f>""</f>
        <v/>
      </c>
      <c r="P1063" t="s">
        <v>1001</v>
      </c>
      <c r="Q1063" t="str">
        <f>"8711768062842"</f>
        <v>8711768062842</v>
      </c>
      <c r="R1063" t="s">
        <v>1010</v>
      </c>
      <c r="S1063" t="s">
        <v>1011</v>
      </c>
      <c r="T1063" s="1" t="s">
        <v>1012</v>
      </c>
      <c r="U1063">
        <v>654</v>
      </c>
      <c r="V1063" t="s">
        <v>1001</v>
      </c>
      <c r="W1063" t="s">
        <v>1004</v>
      </c>
      <c r="X1063" t="s">
        <v>497</v>
      </c>
      <c r="Y1063" t="s">
        <v>998</v>
      </c>
    </row>
    <row r="1064" spans="1:25">
      <c r="A1064">
        <v>13529</v>
      </c>
      <c r="B1064" t="s">
        <v>25</v>
      </c>
      <c r="C1064" t="str">
        <f t="shared" si="33"/>
        <v>INTEGRA Saloon</v>
      </c>
      <c r="D1064" t="str">
        <f t="shared" si="32"/>
        <v>1.6</v>
      </c>
      <c r="E1064" t="s">
        <v>26</v>
      </c>
      <c r="F1064">
        <v>198501</v>
      </c>
      <c r="G1064">
        <v>199012</v>
      </c>
      <c r="H1064">
        <v>74</v>
      </c>
      <c r="I1064">
        <v>100</v>
      </c>
      <c r="J1064">
        <v>1590</v>
      </c>
      <c r="K1064">
        <v>3685879</v>
      </c>
      <c r="L1064" t="s">
        <v>501</v>
      </c>
      <c r="M1064" t="str">
        <f>"9225008"</f>
        <v>9225008</v>
      </c>
      <c r="N1064" t="str">
        <f>"9225008"</f>
        <v>9225008</v>
      </c>
      <c r="O1064" t="str">
        <f>""</f>
        <v/>
      </c>
      <c r="P1064" t="s">
        <v>1001</v>
      </c>
      <c r="Q1064" t="str">
        <f>""</f>
        <v/>
      </c>
      <c r="R1064" t="s">
        <v>1013</v>
      </c>
      <c r="T1064" s="1" t="s">
        <v>1014</v>
      </c>
      <c r="U1064">
        <v>654</v>
      </c>
      <c r="V1064" t="s">
        <v>1001</v>
      </c>
      <c r="W1064" t="s">
        <v>1004</v>
      </c>
      <c r="X1064" t="s">
        <v>497</v>
      </c>
      <c r="Y1064" t="s">
        <v>998</v>
      </c>
    </row>
    <row r="1065" spans="1:25">
      <c r="A1065">
        <v>13529</v>
      </c>
      <c r="B1065" t="s">
        <v>25</v>
      </c>
      <c r="C1065" t="str">
        <f t="shared" si="33"/>
        <v>INTEGRA Saloon</v>
      </c>
      <c r="D1065" t="str">
        <f t="shared" si="32"/>
        <v>1.6</v>
      </c>
      <c r="E1065" t="s">
        <v>26</v>
      </c>
      <c r="F1065">
        <v>198501</v>
      </c>
      <c r="G1065">
        <v>199012</v>
      </c>
      <c r="H1065">
        <v>74</v>
      </c>
      <c r="I1065">
        <v>100</v>
      </c>
      <c r="J1065">
        <v>1590</v>
      </c>
      <c r="K1065">
        <v>3964419</v>
      </c>
      <c r="L1065" t="s">
        <v>27</v>
      </c>
      <c r="M1065" t="str">
        <f>"H31017"</f>
        <v>H31017</v>
      </c>
      <c r="N1065" t="str">
        <f>"H310-17"</f>
        <v>H310-17</v>
      </c>
      <c r="O1065" t="str">
        <f>""</f>
        <v/>
      </c>
      <c r="P1065" t="s">
        <v>1001</v>
      </c>
      <c r="Q1065" t="str">
        <f>"8718993215401"</f>
        <v>8718993215401</v>
      </c>
      <c r="R1065" t="s">
        <v>1015</v>
      </c>
      <c r="S1065" t="s">
        <v>1016</v>
      </c>
      <c r="T1065" s="1" t="s">
        <v>1017</v>
      </c>
      <c r="U1065">
        <v>654</v>
      </c>
      <c r="V1065" t="s">
        <v>1001</v>
      </c>
      <c r="W1065" t="s">
        <v>1004</v>
      </c>
      <c r="X1065" t="s">
        <v>497</v>
      </c>
      <c r="Y1065" t="s">
        <v>998</v>
      </c>
    </row>
    <row r="1066" spans="1:25">
      <c r="A1066">
        <v>13529</v>
      </c>
      <c r="B1066" t="s">
        <v>25</v>
      </c>
      <c r="C1066" t="str">
        <f t="shared" si="33"/>
        <v>INTEGRA Saloon</v>
      </c>
      <c r="D1066" t="str">
        <f t="shared" ref="D1066:D1129" si="34">"1.6"</f>
        <v>1.6</v>
      </c>
      <c r="E1066" t="s">
        <v>26</v>
      </c>
      <c r="F1066">
        <v>198501</v>
      </c>
      <c r="G1066">
        <v>199012</v>
      </c>
      <c r="H1066">
        <v>74</v>
      </c>
      <c r="I1066">
        <v>100</v>
      </c>
      <c r="J1066">
        <v>1590</v>
      </c>
      <c r="K1066">
        <v>3964422</v>
      </c>
      <c r="L1066" t="s">
        <v>27</v>
      </c>
      <c r="M1066" t="str">
        <f>"H31020"</f>
        <v>H31020</v>
      </c>
      <c r="N1066" t="str">
        <f>"H310-20"</f>
        <v>H310-20</v>
      </c>
      <c r="O1066" t="str">
        <f>""</f>
        <v/>
      </c>
      <c r="P1066" t="s">
        <v>1001</v>
      </c>
      <c r="Q1066" t="str">
        <f>"8718993215432"</f>
        <v>8718993215432</v>
      </c>
      <c r="R1066" t="s">
        <v>1018</v>
      </c>
      <c r="S1066" t="s">
        <v>424</v>
      </c>
      <c r="T1066" s="1" t="s">
        <v>1019</v>
      </c>
      <c r="U1066">
        <v>654</v>
      </c>
      <c r="V1066" t="s">
        <v>1001</v>
      </c>
      <c r="W1066" t="s">
        <v>1004</v>
      </c>
      <c r="X1066" t="s">
        <v>497</v>
      </c>
      <c r="Y1066" t="s">
        <v>998</v>
      </c>
    </row>
    <row r="1067" spans="1:25">
      <c r="A1067">
        <v>13529</v>
      </c>
      <c r="B1067" t="s">
        <v>25</v>
      </c>
      <c r="C1067" t="str">
        <f t="shared" si="33"/>
        <v>INTEGRA Saloon</v>
      </c>
      <c r="D1067" t="str">
        <f t="shared" si="34"/>
        <v>1.6</v>
      </c>
      <c r="E1067" t="s">
        <v>26</v>
      </c>
      <c r="F1067">
        <v>198501</v>
      </c>
      <c r="G1067">
        <v>199012</v>
      </c>
      <c r="H1067">
        <v>74</v>
      </c>
      <c r="I1067">
        <v>100</v>
      </c>
      <c r="J1067">
        <v>1590</v>
      </c>
      <c r="K1067">
        <v>484335</v>
      </c>
      <c r="L1067" t="s">
        <v>1311</v>
      </c>
      <c r="M1067" t="str">
        <f>"912406610SW"</f>
        <v>912406610SW</v>
      </c>
      <c r="N1067" t="str">
        <f>"912-40-6610 SW"</f>
        <v>912-40-6610 SW</v>
      </c>
      <c r="O1067" t="str">
        <f>""</f>
        <v/>
      </c>
      <c r="P1067" t="s">
        <v>1020</v>
      </c>
      <c r="Q1067" t="str">
        <f>"5901159073608"</f>
        <v>5901159073608</v>
      </c>
      <c r="R1067" t="s">
        <v>1429</v>
      </c>
      <c r="T1067" t="s">
        <v>1430</v>
      </c>
      <c r="U1067">
        <v>685</v>
      </c>
      <c r="V1067" t="s">
        <v>1020</v>
      </c>
      <c r="W1067" t="s">
        <v>1024</v>
      </c>
      <c r="X1067" t="s">
        <v>1025</v>
      </c>
    </row>
    <row r="1068" spans="1:25">
      <c r="A1068">
        <v>13529</v>
      </c>
      <c r="B1068" t="s">
        <v>25</v>
      </c>
      <c r="C1068" t="str">
        <f t="shared" si="33"/>
        <v>INTEGRA Saloon</v>
      </c>
      <c r="D1068" t="str">
        <f t="shared" si="34"/>
        <v>1.6</v>
      </c>
      <c r="E1068" t="s">
        <v>26</v>
      </c>
      <c r="F1068">
        <v>198501</v>
      </c>
      <c r="G1068">
        <v>199012</v>
      </c>
      <c r="H1068">
        <v>74</v>
      </c>
      <c r="I1068">
        <v>100</v>
      </c>
      <c r="J1068">
        <v>1590</v>
      </c>
      <c r="K1068">
        <v>3034487</v>
      </c>
      <c r="L1068" t="s">
        <v>33</v>
      </c>
      <c r="M1068" t="str">
        <f>"J5384019"</f>
        <v>J5384019</v>
      </c>
      <c r="N1068" t="str">
        <f>"J5384019"</f>
        <v>J5384019</v>
      </c>
      <c r="O1068" t="str">
        <f>""</f>
        <v/>
      </c>
      <c r="P1068" t="s">
        <v>1020</v>
      </c>
      <c r="Q1068" t="str">
        <f>"8711768083960"</f>
        <v>8711768083960</v>
      </c>
      <c r="R1068" t="s">
        <v>1431</v>
      </c>
      <c r="S1068" t="s">
        <v>1432</v>
      </c>
      <c r="T1068" s="1" t="s">
        <v>1433</v>
      </c>
      <c r="U1068">
        <v>685</v>
      </c>
      <c r="V1068" t="s">
        <v>1020</v>
      </c>
      <c r="W1068" t="s">
        <v>1024</v>
      </c>
      <c r="X1068" t="s">
        <v>1025</v>
      </c>
    </row>
    <row r="1069" spans="1:25">
      <c r="A1069">
        <v>13529</v>
      </c>
      <c r="B1069" t="s">
        <v>25</v>
      </c>
      <c r="C1069" t="str">
        <f t="shared" si="33"/>
        <v>INTEGRA Saloon</v>
      </c>
      <c r="D1069" t="str">
        <f t="shared" si="34"/>
        <v>1.6</v>
      </c>
      <c r="E1069" t="s">
        <v>26</v>
      </c>
      <c r="F1069">
        <v>198501</v>
      </c>
      <c r="G1069">
        <v>199012</v>
      </c>
      <c r="H1069">
        <v>74</v>
      </c>
      <c r="I1069">
        <v>100</v>
      </c>
      <c r="J1069">
        <v>1590</v>
      </c>
      <c r="K1069">
        <v>3747353</v>
      </c>
      <c r="L1069" t="s">
        <v>1026</v>
      </c>
      <c r="M1069" t="str">
        <f>"JP102"</f>
        <v>JP102</v>
      </c>
      <c r="N1069" t="str">
        <f>"JP102"</f>
        <v>JP102</v>
      </c>
      <c r="O1069" t="str">
        <f>""</f>
        <v/>
      </c>
      <c r="P1069" t="s">
        <v>1020</v>
      </c>
      <c r="Q1069" t="str">
        <f>"5902925010797"</f>
        <v>5902925010797</v>
      </c>
      <c r="R1069" t="s">
        <v>1434</v>
      </c>
      <c r="T1069" t="s">
        <v>1435</v>
      </c>
      <c r="U1069">
        <v>685</v>
      </c>
      <c r="V1069" t="s">
        <v>1020</v>
      </c>
      <c r="W1069" t="s">
        <v>1024</v>
      </c>
      <c r="X1069" t="s">
        <v>1025</v>
      </c>
    </row>
    <row r="1070" spans="1:25">
      <c r="A1070">
        <v>13529</v>
      </c>
      <c r="B1070" t="s">
        <v>25</v>
      </c>
      <c r="C1070" t="str">
        <f t="shared" si="33"/>
        <v>INTEGRA Saloon</v>
      </c>
      <c r="D1070" t="str">
        <f t="shared" si="34"/>
        <v>1.6</v>
      </c>
      <c r="E1070" t="s">
        <v>26</v>
      </c>
      <c r="F1070">
        <v>198501</v>
      </c>
      <c r="G1070">
        <v>199012</v>
      </c>
      <c r="H1070">
        <v>74</v>
      </c>
      <c r="I1070">
        <v>100</v>
      </c>
      <c r="J1070">
        <v>1590</v>
      </c>
      <c r="K1070">
        <v>3747588</v>
      </c>
      <c r="L1070" t="s">
        <v>1026</v>
      </c>
      <c r="M1070" t="str">
        <f>"JPE102"</f>
        <v>JPE102</v>
      </c>
      <c r="N1070" t="str">
        <f>"JPE102"</f>
        <v>JPE102</v>
      </c>
      <c r="O1070" t="str">
        <f>""</f>
        <v/>
      </c>
      <c r="P1070" t="s">
        <v>1020</v>
      </c>
      <c r="Q1070" t="str">
        <f>"5902925016331"</f>
        <v>5902925016331</v>
      </c>
      <c r="R1070" t="s">
        <v>1436</v>
      </c>
      <c r="T1070" t="s">
        <v>1437</v>
      </c>
      <c r="U1070">
        <v>685</v>
      </c>
      <c r="V1070" t="s">
        <v>1020</v>
      </c>
      <c r="W1070" t="s">
        <v>1024</v>
      </c>
      <c r="X1070" t="s">
        <v>1025</v>
      </c>
    </row>
    <row r="1071" spans="1:25">
      <c r="A1071">
        <v>13529</v>
      </c>
      <c r="B1071" t="s">
        <v>25</v>
      </c>
      <c r="C1071" t="str">
        <f t="shared" si="33"/>
        <v>INTEGRA Saloon</v>
      </c>
      <c r="D1071" t="str">
        <f t="shared" si="34"/>
        <v>1.6</v>
      </c>
      <c r="E1071" t="s">
        <v>26</v>
      </c>
      <c r="F1071">
        <v>198501</v>
      </c>
      <c r="G1071">
        <v>199012</v>
      </c>
      <c r="H1071">
        <v>74</v>
      </c>
      <c r="I1071">
        <v>100</v>
      </c>
      <c r="J1071">
        <v>1590</v>
      </c>
      <c r="K1071">
        <v>4376495</v>
      </c>
      <c r="L1071" t="s">
        <v>507</v>
      </c>
      <c r="M1071" t="str">
        <f>"1038167SX"</f>
        <v>1038167SX</v>
      </c>
      <c r="N1071" t="str">
        <f>"10-38167-SX"</f>
        <v>10-38167-SX</v>
      </c>
      <c r="O1071" t="str">
        <f>""</f>
        <v/>
      </c>
      <c r="P1071" t="s">
        <v>1020</v>
      </c>
      <c r="Q1071" t="str">
        <f>""</f>
        <v/>
      </c>
      <c r="R1071" t="s">
        <v>1438</v>
      </c>
      <c r="T1071" s="1" t="s">
        <v>1439</v>
      </c>
      <c r="U1071">
        <v>685</v>
      </c>
      <c r="V1071" t="s">
        <v>1020</v>
      </c>
      <c r="W1071" t="s">
        <v>1024</v>
      </c>
      <c r="X1071" t="s">
        <v>1025</v>
      </c>
    </row>
    <row r="1072" spans="1:25">
      <c r="A1072">
        <v>13529</v>
      </c>
      <c r="B1072" t="s">
        <v>25</v>
      </c>
      <c r="C1072" t="str">
        <f t="shared" si="33"/>
        <v>INTEGRA Saloon</v>
      </c>
      <c r="D1072" t="str">
        <f t="shared" si="34"/>
        <v>1.6</v>
      </c>
      <c r="E1072" t="s">
        <v>26</v>
      </c>
      <c r="F1072">
        <v>198501</v>
      </c>
      <c r="G1072">
        <v>199012</v>
      </c>
      <c r="H1072">
        <v>74</v>
      </c>
      <c r="I1072">
        <v>100</v>
      </c>
      <c r="J1072">
        <v>1590</v>
      </c>
      <c r="K1072">
        <v>3960449</v>
      </c>
      <c r="L1072" t="s">
        <v>27</v>
      </c>
      <c r="M1072" t="str">
        <f>"B21045"</f>
        <v>B21045</v>
      </c>
      <c r="N1072" t="str">
        <f>"B210-45"</f>
        <v>B210-45</v>
      </c>
      <c r="O1072" t="str">
        <f>""</f>
        <v/>
      </c>
      <c r="P1072" t="s">
        <v>1033</v>
      </c>
      <c r="Q1072" t="str">
        <f>""</f>
        <v/>
      </c>
      <c r="T1072" t="s">
        <v>1042</v>
      </c>
      <c r="U1072">
        <v>686</v>
      </c>
      <c r="V1072" t="s">
        <v>1033</v>
      </c>
      <c r="W1072" t="s">
        <v>1033</v>
      </c>
      <c r="X1072" t="s">
        <v>1025</v>
      </c>
    </row>
    <row r="1073" spans="1:24">
      <c r="A1073">
        <v>13529</v>
      </c>
      <c r="B1073" t="s">
        <v>25</v>
      </c>
      <c r="C1073" t="str">
        <f t="shared" si="33"/>
        <v>INTEGRA Saloon</v>
      </c>
      <c r="D1073" t="str">
        <f t="shared" si="34"/>
        <v>1.6</v>
      </c>
      <c r="E1073" t="s">
        <v>26</v>
      </c>
      <c r="F1073">
        <v>198501</v>
      </c>
      <c r="G1073">
        <v>199012</v>
      </c>
      <c r="H1073">
        <v>74</v>
      </c>
      <c r="I1073">
        <v>100</v>
      </c>
      <c r="J1073">
        <v>1590</v>
      </c>
      <c r="K1073">
        <v>516802</v>
      </c>
      <c r="L1073" t="s">
        <v>1440</v>
      </c>
      <c r="M1073" t="str">
        <f>"CP205"</f>
        <v>CP205</v>
      </c>
      <c r="N1073" t="str">
        <f>"CP205"</f>
        <v>CP205</v>
      </c>
      <c r="O1073" t="str">
        <f>""</f>
        <v/>
      </c>
      <c r="P1073" t="s">
        <v>1441</v>
      </c>
      <c r="Q1073" t="str">
        <f>"5012225326303"</f>
        <v>5012225326303</v>
      </c>
      <c r="R1073" t="s">
        <v>1442</v>
      </c>
      <c r="S1073" t="s">
        <v>1443</v>
      </c>
      <c r="T1073" s="1" t="s">
        <v>1444</v>
      </c>
      <c r="U1073">
        <v>689</v>
      </c>
      <c r="V1073" t="s">
        <v>1441</v>
      </c>
      <c r="W1073" t="s">
        <v>1441</v>
      </c>
      <c r="X1073" t="s">
        <v>1025</v>
      </c>
    </row>
    <row r="1074" spans="1:24">
      <c r="A1074">
        <v>13529</v>
      </c>
      <c r="B1074" t="s">
        <v>25</v>
      </c>
      <c r="C1074" t="str">
        <f t="shared" si="33"/>
        <v>INTEGRA Saloon</v>
      </c>
      <c r="D1074" t="str">
        <f t="shared" si="34"/>
        <v>1.6</v>
      </c>
      <c r="E1074" t="s">
        <v>26</v>
      </c>
      <c r="F1074">
        <v>198501</v>
      </c>
      <c r="G1074">
        <v>199012</v>
      </c>
      <c r="H1074">
        <v>74</v>
      </c>
      <c r="I1074">
        <v>100</v>
      </c>
      <c r="J1074">
        <v>1590</v>
      </c>
      <c r="K1074">
        <v>1148045</v>
      </c>
      <c r="L1074" t="s">
        <v>1445</v>
      </c>
      <c r="M1074" t="str">
        <f>"ZS276"</f>
        <v>ZS276</v>
      </c>
      <c r="N1074" t="str">
        <f>"ZS276"</f>
        <v>ZS276</v>
      </c>
      <c r="O1074" t="str">
        <f>"0040100276"</f>
        <v>0040100276</v>
      </c>
      <c r="P1074" t="s">
        <v>1441</v>
      </c>
      <c r="Q1074" t="str">
        <f>"4014427072850"</f>
        <v>4014427072850</v>
      </c>
      <c r="R1074" t="s">
        <v>1446</v>
      </c>
      <c r="T1074" t="s">
        <v>1447</v>
      </c>
      <c r="U1074">
        <v>689</v>
      </c>
      <c r="V1074" t="s">
        <v>1441</v>
      </c>
      <c r="W1074" t="s">
        <v>1441</v>
      </c>
      <c r="X1074" t="s">
        <v>1025</v>
      </c>
    </row>
    <row r="1075" spans="1:24">
      <c r="A1075">
        <v>13529</v>
      </c>
      <c r="B1075" t="s">
        <v>25</v>
      </c>
      <c r="C1075" t="str">
        <f t="shared" si="33"/>
        <v>INTEGRA Saloon</v>
      </c>
      <c r="D1075" t="str">
        <f t="shared" si="34"/>
        <v>1.6</v>
      </c>
      <c r="E1075" t="s">
        <v>26</v>
      </c>
      <c r="F1075">
        <v>198501</v>
      </c>
      <c r="G1075">
        <v>199012</v>
      </c>
      <c r="H1075">
        <v>74</v>
      </c>
      <c r="I1075">
        <v>100</v>
      </c>
      <c r="J1075">
        <v>1590</v>
      </c>
      <c r="K1075">
        <v>1199105</v>
      </c>
      <c r="L1075" t="s">
        <v>1448</v>
      </c>
      <c r="M1075" t="str">
        <f>"48098"</f>
        <v>48098</v>
      </c>
      <c r="N1075" t="str">
        <f>"48098"</f>
        <v>48098</v>
      </c>
      <c r="O1075" t="str">
        <f>"U1016"</f>
        <v>U1016</v>
      </c>
      <c r="P1075" t="s">
        <v>1441</v>
      </c>
      <c r="Q1075" t="str">
        <f>"4010326480987"</f>
        <v>4010326480987</v>
      </c>
      <c r="R1075" t="s">
        <v>1449</v>
      </c>
      <c r="S1075" t="s">
        <v>1450</v>
      </c>
      <c r="T1075" s="1" t="s">
        <v>1451</v>
      </c>
      <c r="U1075">
        <v>689</v>
      </c>
      <c r="V1075" t="s">
        <v>1441</v>
      </c>
      <c r="W1075" t="s">
        <v>1441</v>
      </c>
      <c r="X1075" t="s">
        <v>1025</v>
      </c>
    </row>
    <row r="1076" spans="1:24">
      <c r="A1076">
        <v>13529</v>
      </c>
      <c r="B1076" t="s">
        <v>25</v>
      </c>
      <c r="C1076" t="str">
        <f t="shared" si="33"/>
        <v>INTEGRA Saloon</v>
      </c>
      <c r="D1076" t="str">
        <f t="shared" si="34"/>
        <v>1.6</v>
      </c>
      <c r="E1076" t="s">
        <v>26</v>
      </c>
      <c r="F1076">
        <v>198501</v>
      </c>
      <c r="G1076">
        <v>199012</v>
      </c>
      <c r="H1076">
        <v>74</v>
      </c>
      <c r="I1076">
        <v>100</v>
      </c>
      <c r="J1076">
        <v>1590</v>
      </c>
      <c r="K1076">
        <v>1793332</v>
      </c>
      <c r="L1076" t="s">
        <v>930</v>
      </c>
      <c r="M1076" t="str">
        <f>"XIC8116"</f>
        <v>XIC8116</v>
      </c>
      <c r="N1076" t="str">
        <f>"XIC8116"</f>
        <v>XIC8116</v>
      </c>
      <c r="O1076" t="str">
        <f>""</f>
        <v/>
      </c>
      <c r="P1076" t="s">
        <v>1441</v>
      </c>
      <c r="Q1076" t="str">
        <f>"5022515065065"</f>
        <v>5022515065065</v>
      </c>
      <c r="R1076" t="s">
        <v>1442</v>
      </c>
      <c r="S1076" t="s">
        <v>1443</v>
      </c>
      <c r="T1076" s="1" t="s">
        <v>1452</v>
      </c>
      <c r="U1076">
        <v>689</v>
      </c>
      <c r="V1076" t="s">
        <v>1441</v>
      </c>
      <c r="W1076" t="s">
        <v>1441</v>
      </c>
      <c r="X1076" t="s">
        <v>1025</v>
      </c>
    </row>
    <row r="1077" spans="1:24">
      <c r="A1077">
        <v>13529</v>
      </c>
      <c r="B1077" t="s">
        <v>25</v>
      </c>
      <c r="C1077" t="str">
        <f t="shared" si="33"/>
        <v>INTEGRA Saloon</v>
      </c>
      <c r="D1077" t="str">
        <f t="shared" si="34"/>
        <v>1.6</v>
      </c>
      <c r="E1077" t="s">
        <v>26</v>
      </c>
      <c r="F1077">
        <v>198501</v>
      </c>
      <c r="G1077">
        <v>199012</v>
      </c>
      <c r="H1077">
        <v>74</v>
      </c>
      <c r="I1077">
        <v>100</v>
      </c>
      <c r="J1077">
        <v>1590</v>
      </c>
      <c r="K1077">
        <v>2594573</v>
      </c>
      <c r="L1077" t="s">
        <v>1453</v>
      </c>
      <c r="M1077" t="str">
        <f>"96112"</f>
        <v>96112</v>
      </c>
      <c r="N1077" t="str">
        <f>"9.6112"</f>
        <v>9.6112</v>
      </c>
      <c r="O1077" t="str">
        <f>"EPS 1.970.212"</f>
        <v>EPS 1.970.212</v>
      </c>
      <c r="P1077" t="s">
        <v>1441</v>
      </c>
      <c r="Q1077" t="str">
        <f>"8012510057278"</f>
        <v>8012510057278</v>
      </c>
      <c r="S1077" t="s">
        <v>1454</v>
      </c>
      <c r="T1077" t="s">
        <v>1455</v>
      </c>
      <c r="U1077">
        <v>689</v>
      </c>
      <c r="V1077" t="s">
        <v>1441</v>
      </c>
      <c r="W1077" t="s">
        <v>1441</v>
      </c>
      <c r="X1077" t="s">
        <v>1025</v>
      </c>
    </row>
    <row r="1078" spans="1:24">
      <c r="A1078">
        <v>13529</v>
      </c>
      <c r="B1078" t="s">
        <v>25</v>
      </c>
      <c r="C1078" t="str">
        <f t="shared" si="33"/>
        <v>INTEGRA Saloon</v>
      </c>
      <c r="D1078" t="str">
        <f t="shared" si="34"/>
        <v>1.6</v>
      </c>
      <c r="E1078" t="s">
        <v>26</v>
      </c>
      <c r="F1078">
        <v>198501</v>
      </c>
      <c r="G1078">
        <v>199012</v>
      </c>
      <c r="H1078">
        <v>74</v>
      </c>
      <c r="I1078">
        <v>100</v>
      </c>
      <c r="J1078">
        <v>1590</v>
      </c>
      <c r="K1078">
        <v>2594574</v>
      </c>
      <c r="L1078" t="s">
        <v>1453</v>
      </c>
      <c r="M1078" t="str">
        <f>"96113"</f>
        <v>96113</v>
      </c>
      <c r="N1078" t="str">
        <f>"9.6113"</f>
        <v>9.6113</v>
      </c>
      <c r="O1078" t="str">
        <f>"EPS 1.970.213"</f>
        <v>EPS 1.970.213</v>
      </c>
      <c r="P1078" t="s">
        <v>1441</v>
      </c>
      <c r="Q1078" t="str">
        <f>"8012510057285"</f>
        <v>8012510057285</v>
      </c>
      <c r="S1078" t="s">
        <v>1456</v>
      </c>
      <c r="T1078" s="1" t="s">
        <v>1457</v>
      </c>
      <c r="U1078">
        <v>689</v>
      </c>
      <c r="V1078" t="s">
        <v>1441</v>
      </c>
      <c r="W1078" t="s">
        <v>1441</v>
      </c>
      <c r="X1078" t="s">
        <v>1025</v>
      </c>
    </row>
    <row r="1079" spans="1:24">
      <c r="A1079">
        <v>13529</v>
      </c>
      <c r="B1079" t="s">
        <v>25</v>
      </c>
      <c r="C1079" t="str">
        <f t="shared" si="33"/>
        <v>INTEGRA Saloon</v>
      </c>
      <c r="D1079" t="str">
        <f t="shared" si="34"/>
        <v>1.6</v>
      </c>
      <c r="E1079" t="s">
        <v>26</v>
      </c>
      <c r="F1079">
        <v>198501</v>
      </c>
      <c r="G1079">
        <v>199012</v>
      </c>
      <c r="H1079">
        <v>74</v>
      </c>
      <c r="I1079">
        <v>100</v>
      </c>
      <c r="J1079">
        <v>1590</v>
      </c>
      <c r="K1079">
        <v>2706957</v>
      </c>
      <c r="L1079" t="s">
        <v>1458</v>
      </c>
      <c r="M1079" t="str">
        <f>"V26700001"</f>
        <v>V26700001</v>
      </c>
      <c r="N1079" t="str">
        <f>"V26-70-0001"</f>
        <v>V26-70-0001</v>
      </c>
      <c r="O1079" t="str">
        <f>""</f>
        <v/>
      </c>
      <c r="P1079" t="s">
        <v>1441</v>
      </c>
      <c r="Q1079" t="str">
        <f>"4046001424922"</f>
        <v>4046001424922</v>
      </c>
      <c r="R1079" t="s">
        <v>1459</v>
      </c>
      <c r="T1079" s="1" t="s">
        <v>1460</v>
      </c>
      <c r="U1079">
        <v>689</v>
      </c>
      <c r="V1079" t="s">
        <v>1441</v>
      </c>
      <c r="W1079" t="s">
        <v>1441</v>
      </c>
      <c r="X1079" t="s">
        <v>1025</v>
      </c>
    </row>
    <row r="1080" spans="1:24">
      <c r="A1080">
        <v>13529</v>
      </c>
      <c r="B1080" t="s">
        <v>25</v>
      </c>
      <c r="C1080" t="str">
        <f t="shared" si="33"/>
        <v>INTEGRA Saloon</v>
      </c>
      <c r="D1080" t="str">
        <f t="shared" si="34"/>
        <v>1.6</v>
      </c>
      <c r="E1080" t="s">
        <v>26</v>
      </c>
      <c r="F1080">
        <v>198501</v>
      </c>
      <c r="G1080">
        <v>199012</v>
      </c>
      <c r="H1080">
        <v>74</v>
      </c>
      <c r="I1080">
        <v>100</v>
      </c>
      <c r="J1080">
        <v>1590</v>
      </c>
      <c r="K1080">
        <v>2898101</v>
      </c>
      <c r="L1080" t="s">
        <v>1461</v>
      </c>
      <c r="M1080" t="str">
        <f>"155370"</f>
        <v>155370</v>
      </c>
      <c r="N1080" t="str">
        <f>"155370"</f>
        <v>155370</v>
      </c>
      <c r="O1080" t="str">
        <f>""</f>
        <v/>
      </c>
      <c r="P1080" t="s">
        <v>1441</v>
      </c>
      <c r="Q1080" t="str">
        <f>"3285190030397"</f>
        <v>3285190030397</v>
      </c>
      <c r="T1080" t="s">
        <v>1462</v>
      </c>
      <c r="U1080">
        <v>689</v>
      </c>
      <c r="V1080" t="s">
        <v>1441</v>
      </c>
      <c r="W1080" t="s">
        <v>1441</v>
      </c>
      <c r="X1080" t="s">
        <v>1025</v>
      </c>
    </row>
    <row r="1081" spans="1:24">
      <c r="A1081">
        <v>13529</v>
      </c>
      <c r="B1081" t="s">
        <v>25</v>
      </c>
      <c r="C1081" t="str">
        <f t="shared" si="33"/>
        <v>INTEGRA Saloon</v>
      </c>
      <c r="D1081" t="str">
        <f t="shared" si="34"/>
        <v>1.6</v>
      </c>
      <c r="E1081" t="s">
        <v>26</v>
      </c>
      <c r="F1081">
        <v>198501</v>
      </c>
      <c r="G1081">
        <v>199012</v>
      </c>
      <c r="H1081">
        <v>74</v>
      </c>
      <c r="I1081">
        <v>100</v>
      </c>
      <c r="J1081">
        <v>1590</v>
      </c>
      <c r="K1081">
        <v>2953352</v>
      </c>
      <c r="L1081" t="s">
        <v>1463</v>
      </c>
      <c r="M1081" t="str">
        <f>"880052"</f>
        <v>880052</v>
      </c>
      <c r="N1081" t="str">
        <f>"880052"</f>
        <v>880052</v>
      </c>
      <c r="O1081" t="str">
        <f>""</f>
        <v/>
      </c>
      <c r="P1081" t="s">
        <v>1441</v>
      </c>
      <c r="Q1081" t="str">
        <f>""</f>
        <v/>
      </c>
      <c r="R1081" t="s">
        <v>1464</v>
      </c>
      <c r="T1081" s="1" t="s">
        <v>1465</v>
      </c>
      <c r="U1081">
        <v>689</v>
      </c>
      <c r="V1081" t="s">
        <v>1441</v>
      </c>
      <c r="W1081" t="s">
        <v>1441</v>
      </c>
      <c r="X1081" t="s">
        <v>1025</v>
      </c>
    </row>
    <row r="1082" spans="1:24">
      <c r="A1082">
        <v>13529</v>
      </c>
      <c r="B1082" t="s">
        <v>25</v>
      </c>
      <c r="C1082" t="str">
        <f t="shared" si="33"/>
        <v>INTEGRA Saloon</v>
      </c>
      <c r="D1082" t="str">
        <f t="shared" si="34"/>
        <v>1.6</v>
      </c>
      <c r="E1082" t="s">
        <v>26</v>
      </c>
      <c r="F1082">
        <v>198501</v>
      </c>
      <c r="G1082">
        <v>199012</v>
      </c>
      <c r="H1082">
        <v>74</v>
      </c>
      <c r="I1082">
        <v>100</v>
      </c>
      <c r="J1082">
        <v>1590</v>
      </c>
      <c r="K1082">
        <v>3178720</v>
      </c>
      <c r="L1082" t="s">
        <v>1440</v>
      </c>
      <c r="M1082" t="str">
        <f>"12618"</f>
        <v>12618</v>
      </c>
      <c r="N1082" t="str">
        <f>"12618"</f>
        <v>12618</v>
      </c>
      <c r="O1082" t="str">
        <f>""</f>
        <v/>
      </c>
      <c r="P1082" t="s">
        <v>1441</v>
      </c>
      <c r="Q1082" t="str">
        <f>"5012225089581"</f>
        <v>5012225089581</v>
      </c>
      <c r="R1082" t="s">
        <v>1442</v>
      </c>
      <c r="S1082" t="s">
        <v>1443</v>
      </c>
      <c r="T1082" s="1" t="s">
        <v>1466</v>
      </c>
      <c r="U1082">
        <v>689</v>
      </c>
      <c r="V1082" t="s">
        <v>1441</v>
      </c>
      <c r="W1082" t="s">
        <v>1441</v>
      </c>
      <c r="X1082" t="s">
        <v>1025</v>
      </c>
    </row>
    <row r="1083" spans="1:24">
      <c r="A1083">
        <v>13529</v>
      </c>
      <c r="B1083" t="s">
        <v>25</v>
      </c>
      <c r="C1083" t="str">
        <f t="shared" si="33"/>
        <v>INTEGRA Saloon</v>
      </c>
      <c r="D1083" t="str">
        <f t="shared" si="34"/>
        <v>1.6</v>
      </c>
      <c r="E1083" t="s">
        <v>26</v>
      </c>
      <c r="F1083">
        <v>198501</v>
      </c>
      <c r="G1083">
        <v>199012</v>
      </c>
      <c r="H1083">
        <v>74</v>
      </c>
      <c r="I1083">
        <v>100</v>
      </c>
      <c r="J1083">
        <v>1590</v>
      </c>
      <c r="K1083">
        <v>3187809</v>
      </c>
      <c r="L1083" t="s">
        <v>1440</v>
      </c>
      <c r="M1083" t="str">
        <f>"CU1064"</f>
        <v>CU1064</v>
      </c>
      <c r="N1083" t="str">
        <f>"CU1064"</f>
        <v>CU1064</v>
      </c>
      <c r="O1083" t="str">
        <f>""</f>
        <v/>
      </c>
      <c r="P1083" t="s">
        <v>1441</v>
      </c>
      <c r="Q1083" t="str">
        <f>"5029406115809"</f>
        <v>5029406115809</v>
      </c>
      <c r="R1083" t="s">
        <v>1442</v>
      </c>
      <c r="S1083" t="s">
        <v>1443</v>
      </c>
      <c r="T1083" s="1" t="s">
        <v>1466</v>
      </c>
      <c r="U1083">
        <v>689</v>
      </c>
      <c r="V1083" t="s">
        <v>1441</v>
      </c>
      <c r="W1083" t="s">
        <v>1441</v>
      </c>
      <c r="X1083" t="s">
        <v>1025</v>
      </c>
    </row>
    <row r="1084" spans="1:24">
      <c r="A1084">
        <v>13529</v>
      </c>
      <c r="B1084" t="s">
        <v>25</v>
      </c>
      <c r="C1084" t="str">
        <f t="shared" si="33"/>
        <v>INTEGRA Saloon</v>
      </c>
      <c r="D1084" t="str">
        <f t="shared" si="34"/>
        <v>1.6</v>
      </c>
      <c r="E1084" t="s">
        <v>26</v>
      </c>
      <c r="F1084">
        <v>198501</v>
      </c>
      <c r="G1084">
        <v>199012</v>
      </c>
      <c r="H1084">
        <v>74</v>
      </c>
      <c r="I1084">
        <v>100</v>
      </c>
      <c r="J1084">
        <v>1590</v>
      </c>
      <c r="K1084">
        <v>3191943</v>
      </c>
      <c r="L1084" t="s">
        <v>1440</v>
      </c>
      <c r="M1084" t="str">
        <f>"IIS163"</f>
        <v>IIS163</v>
      </c>
      <c r="N1084" t="str">
        <f>"IIS163"</f>
        <v>IIS163</v>
      </c>
      <c r="O1084" t="str">
        <f>""</f>
        <v/>
      </c>
      <c r="P1084" t="s">
        <v>1441</v>
      </c>
      <c r="Q1084" t="str">
        <f>"5012225198429"</f>
        <v>5012225198429</v>
      </c>
      <c r="R1084" t="s">
        <v>1442</v>
      </c>
      <c r="S1084" t="s">
        <v>1443</v>
      </c>
      <c r="T1084" s="1" t="s">
        <v>1466</v>
      </c>
      <c r="U1084">
        <v>689</v>
      </c>
      <c r="V1084" t="s">
        <v>1441</v>
      </c>
      <c r="W1084" t="s">
        <v>1441</v>
      </c>
      <c r="X1084" t="s">
        <v>1025</v>
      </c>
    </row>
    <row r="1085" spans="1:24">
      <c r="A1085">
        <v>13529</v>
      </c>
      <c r="B1085" t="s">
        <v>25</v>
      </c>
      <c r="C1085" t="str">
        <f t="shared" si="33"/>
        <v>INTEGRA Saloon</v>
      </c>
      <c r="D1085" t="str">
        <f t="shared" si="34"/>
        <v>1.6</v>
      </c>
      <c r="E1085" t="s">
        <v>26</v>
      </c>
      <c r="F1085">
        <v>198501</v>
      </c>
      <c r="G1085">
        <v>199012</v>
      </c>
      <c r="H1085">
        <v>74</v>
      </c>
      <c r="I1085">
        <v>100</v>
      </c>
      <c r="J1085">
        <v>1590</v>
      </c>
      <c r="K1085">
        <v>3214572</v>
      </c>
      <c r="L1085" t="s">
        <v>298</v>
      </c>
      <c r="M1085" t="str">
        <f>"600046"</f>
        <v>600046</v>
      </c>
      <c r="N1085" t="str">
        <f>"60-0046"</f>
        <v>60-0046</v>
      </c>
      <c r="O1085" t="str">
        <f>""</f>
        <v/>
      </c>
      <c r="P1085" t="s">
        <v>1441</v>
      </c>
      <c r="Q1085" t="str">
        <f>""</f>
        <v/>
      </c>
      <c r="T1085" t="s">
        <v>1467</v>
      </c>
      <c r="U1085">
        <v>689</v>
      </c>
      <c r="V1085" t="s">
        <v>1441</v>
      </c>
      <c r="W1085" t="s">
        <v>1441</v>
      </c>
      <c r="X1085" t="s">
        <v>1025</v>
      </c>
    </row>
    <row r="1086" spans="1:24">
      <c r="A1086">
        <v>13529</v>
      </c>
      <c r="B1086" t="s">
        <v>25</v>
      </c>
      <c r="C1086" t="str">
        <f t="shared" si="33"/>
        <v>INTEGRA Saloon</v>
      </c>
      <c r="D1086" t="str">
        <f t="shared" si="34"/>
        <v>1.6</v>
      </c>
      <c r="E1086" t="s">
        <v>26</v>
      </c>
      <c r="F1086">
        <v>198501</v>
      </c>
      <c r="G1086">
        <v>199012</v>
      </c>
      <c r="H1086">
        <v>74</v>
      </c>
      <c r="I1086">
        <v>100</v>
      </c>
      <c r="J1086">
        <v>1590</v>
      </c>
      <c r="K1086">
        <v>3606226</v>
      </c>
      <c r="L1086" t="s">
        <v>1468</v>
      </c>
      <c r="M1086" t="str">
        <f>"CL500"</f>
        <v>CL500</v>
      </c>
      <c r="N1086" t="str">
        <f>"CL500"</f>
        <v>CL500</v>
      </c>
      <c r="O1086" t="str">
        <f>""</f>
        <v/>
      </c>
      <c r="P1086" t="s">
        <v>1441</v>
      </c>
      <c r="Q1086" t="str">
        <f>"8595141023442"</f>
        <v>8595141023442</v>
      </c>
      <c r="T1086" t="s">
        <v>1469</v>
      </c>
      <c r="U1086">
        <v>689</v>
      </c>
      <c r="V1086" t="s">
        <v>1441</v>
      </c>
      <c r="W1086" t="s">
        <v>1441</v>
      </c>
      <c r="X1086" t="s">
        <v>1025</v>
      </c>
    </row>
    <row r="1087" spans="1:24">
      <c r="A1087">
        <v>13529</v>
      </c>
      <c r="B1087" t="s">
        <v>25</v>
      </c>
      <c r="C1087" t="str">
        <f t="shared" si="33"/>
        <v>INTEGRA Saloon</v>
      </c>
      <c r="D1087" t="str">
        <f t="shared" si="34"/>
        <v>1.6</v>
      </c>
      <c r="E1087" t="s">
        <v>26</v>
      </c>
      <c r="F1087">
        <v>198501</v>
      </c>
      <c r="G1087">
        <v>199012</v>
      </c>
      <c r="H1087">
        <v>74</v>
      </c>
      <c r="I1087">
        <v>100</v>
      </c>
      <c r="J1087">
        <v>1590</v>
      </c>
      <c r="K1087">
        <v>3747004</v>
      </c>
      <c r="L1087" t="s">
        <v>1026</v>
      </c>
      <c r="M1087" t="str">
        <f>"JM5191"</f>
        <v>JM5191</v>
      </c>
      <c r="N1087" t="str">
        <f>"JM5191"</f>
        <v>JM5191</v>
      </c>
      <c r="O1087" t="str">
        <f>""</f>
        <v/>
      </c>
      <c r="P1087" t="s">
        <v>1441</v>
      </c>
      <c r="Q1087" t="str">
        <f>"5902925207180"</f>
        <v>5902925207180</v>
      </c>
      <c r="R1087" t="s">
        <v>1470</v>
      </c>
      <c r="T1087" t="s">
        <v>1471</v>
      </c>
      <c r="U1087">
        <v>689</v>
      </c>
      <c r="V1087" t="s">
        <v>1441</v>
      </c>
      <c r="W1087" t="s">
        <v>1441</v>
      </c>
      <c r="X1087" t="s">
        <v>1025</v>
      </c>
    </row>
    <row r="1088" spans="1:24">
      <c r="A1088">
        <v>13529</v>
      </c>
      <c r="B1088" t="s">
        <v>25</v>
      </c>
      <c r="C1088" t="str">
        <f t="shared" si="33"/>
        <v>INTEGRA Saloon</v>
      </c>
      <c r="D1088" t="str">
        <f t="shared" si="34"/>
        <v>1.6</v>
      </c>
      <c r="E1088" t="s">
        <v>26</v>
      </c>
      <c r="F1088">
        <v>198501</v>
      </c>
      <c r="G1088">
        <v>199012</v>
      </c>
      <c r="H1088">
        <v>74</v>
      </c>
      <c r="I1088">
        <v>100</v>
      </c>
      <c r="J1088">
        <v>1590</v>
      </c>
      <c r="K1088">
        <v>4034746</v>
      </c>
      <c r="L1088" t="s">
        <v>1472</v>
      </c>
      <c r="M1088" t="str">
        <f>"138814"</f>
        <v>138814</v>
      </c>
      <c r="N1088" t="str">
        <f>"138814"</f>
        <v>138814</v>
      </c>
      <c r="O1088" t="str">
        <f>"138814"</f>
        <v>138814</v>
      </c>
      <c r="P1088" t="s">
        <v>1441</v>
      </c>
      <c r="Q1088" t="str">
        <f>""</f>
        <v/>
      </c>
      <c r="R1088" t="s">
        <v>1473</v>
      </c>
      <c r="T1088" s="1" t="s">
        <v>1474</v>
      </c>
      <c r="U1088">
        <v>689</v>
      </c>
      <c r="V1088" t="s">
        <v>1441</v>
      </c>
      <c r="W1088" t="s">
        <v>1441</v>
      </c>
      <c r="X1088" t="s">
        <v>1025</v>
      </c>
    </row>
    <row r="1089" spans="1:25">
      <c r="A1089">
        <v>13529</v>
      </c>
      <c r="B1089" t="s">
        <v>25</v>
      </c>
      <c r="C1089" t="str">
        <f t="shared" si="33"/>
        <v>INTEGRA Saloon</v>
      </c>
      <c r="D1089" t="str">
        <f t="shared" si="34"/>
        <v>1.6</v>
      </c>
      <c r="E1089" t="s">
        <v>26</v>
      </c>
      <c r="F1089">
        <v>198501</v>
      </c>
      <c r="G1089">
        <v>199012</v>
      </c>
      <c r="H1089">
        <v>74</v>
      </c>
      <c r="I1089">
        <v>100</v>
      </c>
      <c r="J1089">
        <v>1590</v>
      </c>
      <c r="K1089">
        <v>4486062</v>
      </c>
      <c r="L1089" t="s">
        <v>1475</v>
      </c>
      <c r="M1089" t="str">
        <f>"CUF73"</f>
        <v>CUF73</v>
      </c>
      <c r="N1089" t="str">
        <f>"CUF73"</f>
        <v>CUF73</v>
      </c>
      <c r="O1089" t="str">
        <f>""</f>
        <v/>
      </c>
      <c r="P1089" t="s">
        <v>1441</v>
      </c>
      <c r="Q1089" t="str">
        <f>""</f>
        <v/>
      </c>
      <c r="T1089" t="s">
        <v>1476</v>
      </c>
      <c r="U1089">
        <v>689</v>
      </c>
      <c r="V1089" t="s">
        <v>1441</v>
      </c>
      <c r="W1089" t="s">
        <v>1441</v>
      </c>
      <c r="X1089" t="s">
        <v>1025</v>
      </c>
    </row>
    <row r="1090" spans="1:25">
      <c r="A1090">
        <v>13529</v>
      </c>
      <c r="B1090" t="s">
        <v>25</v>
      </c>
      <c r="C1090" t="str">
        <f t="shared" ref="C1090:C1153" si="35">"INTEGRA Saloon"</f>
        <v>INTEGRA Saloon</v>
      </c>
      <c r="D1090" t="str">
        <f t="shared" si="34"/>
        <v>1.6</v>
      </c>
      <c r="E1090" t="s">
        <v>26</v>
      </c>
      <c r="F1090">
        <v>198501</v>
      </c>
      <c r="G1090">
        <v>199012</v>
      </c>
      <c r="H1090">
        <v>74</v>
      </c>
      <c r="I1090">
        <v>100</v>
      </c>
      <c r="J1090">
        <v>1590</v>
      </c>
      <c r="K1090">
        <v>2591732</v>
      </c>
      <c r="L1090" t="s">
        <v>1453</v>
      </c>
      <c r="M1090" t="str">
        <f>"37956"</f>
        <v>37956</v>
      </c>
      <c r="N1090" t="str">
        <f>"3.7956"</f>
        <v>3.7956</v>
      </c>
      <c r="O1090" t="str">
        <f>"EPS 1.422.056"</f>
        <v>EPS 1.422.056</v>
      </c>
      <c r="P1090" t="s">
        <v>1043</v>
      </c>
      <c r="Q1090" t="str">
        <f>"8012510020265"</f>
        <v>8012510020265</v>
      </c>
      <c r="S1090" t="s">
        <v>1477</v>
      </c>
      <c r="T1090" s="1" t="s">
        <v>1478</v>
      </c>
      <c r="U1090">
        <v>691</v>
      </c>
      <c r="V1090" t="s">
        <v>1043</v>
      </c>
      <c r="W1090" t="s">
        <v>1043</v>
      </c>
      <c r="X1090" t="s">
        <v>1025</v>
      </c>
      <c r="Y1090" t="s">
        <v>1046</v>
      </c>
    </row>
    <row r="1091" spans="1:25">
      <c r="A1091">
        <v>13529</v>
      </c>
      <c r="B1091" t="s">
        <v>25</v>
      </c>
      <c r="C1091" t="str">
        <f t="shared" si="35"/>
        <v>INTEGRA Saloon</v>
      </c>
      <c r="D1091" t="str">
        <f t="shared" si="34"/>
        <v>1.6</v>
      </c>
      <c r="E1091" t="s">
        <v>26</v>
      </c>
      <c r="F1091">
        <v>198501</v>
      </c>
      <c r="G1091">
        <v>199012</v>
      </c>
      <c r="H1091">
        <v>74</v>
      </c>
      <c r="I1091">
        <v>100</v>
      </c>
      <c r="J1091">
        <v>1590</v>
      </c>
      <c r="K1091">
        <v>2591741</v>
      </c>
      <c r="L1091" t="s">
        <v>1453</v>
      </c>
      <c r="M1091" t="str">
        <f>"37982"</f>
        <v>37982</v>
      </c>
      <c r="N1091" t="str">
        <f>"3.7982"</f>
        <v>3.7982</v>
      </c>
      <c r="O1091" t="str">
        <f>"EPS 1.422.082"</f>
        <v>EPS 1.422.082</v>
      </c>
      <c r="P1091" t="s">
        <v>1043</v>
      </c>
      <c r="Q1091" t="str">
        <f>"8012510020524"</f>
        <v>8012510020524</v>
      </c>
      <c r="S1091" t="s">
        <v>1479</v>
      </c>
      <c r="T1091" t="s">
        <v>1480</v>
      </c>
      <c r="U1091">
        <v>691</v>
      </c>
      <c r="V1091" t="s">
        <v>1043</v>
      </c>
      <c r="W1091" t="s">
        <v>1043</v>
      </c>
      <c r="X1091" t="s">
        <v>1025</v>
      </c>
      <c r="Y1091" t="s">
        <v>1046</v>
      </c>
    </row>
    <row r="1092" spans="1:25">
      <c r="A1092">
        <v>13529</v>
      </c>
      <c r="B1092" t="s">
        <v>25</v>
      </c>
      <c r="C1092" t="str">
        <f t="shared" si="35"/>
        <v>INTEGRA Saloon</v>
      </c>
      <c r="D1092" t="str">
        <f t="shared" si="34"/>
        <v>1.6</v>
      </c>
      <c r="E1092" t="s">
        <v>26</v>
      </c>
      <c r="F1092">
        <v>198501</v>
      </c>
      <c r="G1092">
        <v>199012</v>
      </c>
      <c r="H1092">
        <v>74</v>
      </c>
      <c r="I1092">
        <v>100</v>
      </c>
      <c r="J1092">
        <v>1590</v>
      </c>
      <c r="K1092">
        <v>2591745</v>
      </c>
      <c r="L1092" t="s">
        <v>1453</v>
      </c>
      <c r="M1092" t="str">
        <f>"37991"</f>
        <v>37991</v>
      </c>
      <c r="N1092" t="str">
        <f>"3.7991"</f>
        <v>3.7991</v>
      </c>
      <c r="O1092" t="str">
        <f>"EPS 1.422.091"</f>
        <v>EPS 1.422.091</v>
      </c>
      <c r="P1092" t="s">
        <v>1043</v>
      </c>
      <c r="Q1092" t="str">
        <f>""</f>
        <v/>
      </c>
      <c r="S1092" t="s">
        <v>1481</v>
      </c>
      <c r="T1092" t="s">
        <v>1482</v>
      </c>
      <c r="U1092">
        <v>691</v>
      </c>
      <c r="V1092" t="s">
        <v>1043</v>
      </c>
      <c r="W1092" t="s">
        <v>1043</v>
      </c>
      <c r="X1092" t="s">
        <v>1025</v>
      </c>
      <c r="Y1092" t="s">
        <v>1046</v>
      </c>
    </row>
    <row r="1093" spans="1:25">
      <c r="A1093">
        <v>13529</v>
      </c>
      <c r="B1093" t="s">
        <v>25</v>
      </c>
      <c r="C1093" t="str">
        <f t="shared" si="35"/>
        <v>INTEGRA Saloon</v>
      </c>
      <c r="D1093" t="str">
        <f t="shared" si="34"/>
        <v>1.6</v>
      </c>
      <c r="E1093" t="s">
        <v>26</v>
      </c>
      <c r="F1093">
        <v>198501</v>
      </c>
      <c r="G1093">
        <v>199012</v>
      </c>
      <c r="H1093">
        <v>74</v>
      </c>
      <c r="I1093">
        <v>100</v>
      </c>
      <c r="J1093">
        <v>1590</v>
      </c>
      <c r="K1093">
        <v>2706964</v>
      </c>
      <c r="L1093" t="s">
        <v>1458</v>
      </c>
      <c r="M1093" t="str">
        <f>"V26700008"</f>
        <v>V26700008</v>
      </c>
      <c r="N1093" t="str">
        <f>"V26-70-0008"</f>
        <v>V26-70-0008</v>
      </c>
      <c r="O1093" t="str">
        <f>""</f>
        <v/>
      </c>
      <c r="P1093" t="s">
        <v>1043</v>
      </c>
      <c r="Q1093" t="str">
        <f>"4046001501128"</f>
        <v>4046001501128</v>
      </c>
      <c r="R1093" t="s">
        <v>1483</v>
      </c>
      <c r="S1093" t="s">
        <v>1484</v>
      </c>
      <c r="T1093" t="s">
        <v>1485</v>
      </c>
      <c r="U1093">
        <v>691</v>
      </c>
      <c r="V1093" t="s">
        <v>1043</v>
      </c>
      <c r="W1093" t="s">
        <v>1043</v>
      </c>
      <c r="X1093" t="s">
        <v>1025</v>
      </c>
      <c r="Y1093" t="s">
        <v>1046</v>
      </c>
    </row>
    <row r="1094" spans="1:25">
      <c r="A1094">
        <v>13529</v>
      </c>
      <c r="B1094" t="s">
        <v>25</v>
      </c>
      <c r="C1094" t="str">
        <f t="shared" si="35"/>
        <v>INTEGRA Saloon</v>
      </c>
      <c r="D1094" t="str">
        <f t="shared" si="34"/>
        <v>1.6</v>
      </c>
      <c r="E1094" t="s">
        <v>26</v>
      </c>
      <c r="F1094">
        <v>198501</v>
      </c>
      <c r="G1094">
        <v>199012</v>
      </c>
      <c r="H1094">
        <v>74</v>
      </c>
      <c r="I1094">
        <v>100</v>
      </c>
      <c r="J1094">
        <v>1590</v>
      </c>
      <c r="K1094">
        <v>2706967</v>
      </c>
      <c r="L1094" t="s">
        <v>1458</v>
      </c>
      <c r="M1094" t="str">
        <f>"V26700011"</f>
        <v>V26700011</v>
      </c>
      <c r="N1094" t="str">
        <f>"V26-70-0011"</f>
        <v>V26-70-0011</v>
      </c>
      <c r="O1094" t="str">
        <f>""</f>
        <v/>
      </c>
      <c r="P1094" t="s">
        <v>1043</v>
      </c>
      <c r="Q1094" t="str">
        <f>"4046001499463"</f>
        <v>4046001499463</v>
      </c>
      <c r="S1094" t="s">
        <v>1486</v>
      </c>
      <c r="T1094" t="s">
        <v>1487</v>
      </c>
      <c r="U1094">
        <v>691</v>
      </c>
      <c r="V1094" t="s">
        <v>1043</v>
      </c>
      <c r="W1094" t="s">
        <v>1043</v>
      </c>
      <c r="X1094" t="s">
        <v>1025</v>
      </c>
      <c r="Y1094" t="s">
        <v>1046</v>
      </c>
    </row>
    <row r="1095" spans="1:25">
      <c r="A1095">
        <v>13529</v>
      </c>
      <c r="B1095" t="s">
        <v>25</v>
      </c>
      <c r="C1095" t="str">
        <f t="shared" si="35"/>
        <v>INTEGRA Saloon</v>
      </c>
      <c r="D1095" t="str">
        <f t="shared" si="34"/>
        <v>1.6</v>
      </c>
      <c r="E1095" t="s">
        <v>26</v>
      </c>
      <c r="F1095">
        <v>198501</v>
      </c>
      <c r="G1095">
        <v>199012</v>
      </c>
      <c r="H1095">
        <v>74</v>
      </c>
      <c r="I1095">
        <v>100</v>
      </c>
      <c r="J1095">
        <v>1590</v>
      </c>
      <c r="K1095">
        <v>3718010</v>
      </c>
      <c r="L1095" t="s">
        <v>1488</v>
      </c>
      <c r="M1095" t="str">
        <f>"3303"</f>
        <v>3303</v>
      </c>
      <c r="N1095" t="str">
        <f>"3303"</f>
        <v>3303</v>
      </c>
      <c r="O1095" t="str">
        <f>""</f>
        <v/>
      </c>
      <c r="P1095" t="s">
        <v>1043</v>
      </c>
      <c r="Q1095" t="str">
        <f>"8435120311200"</f>
        <v>8435120311200</v>
      </c>
      <c r="R1095" t="s">
        <v>1489</v>
      </c>
      <c r="T1095" s="1" t="s">
        <v>1490</v>
      </c>
      <c r="U1095">
        <v>691</v>
      </c>
      <c r="V1095" t="s">
        <v>1043</v>
      </c>
      <c r="W1095" t="s">
        <v>1043</v>
      </c>
      <c r="X1095" t="s">
        <v>1025</v>
      </c>
      <c r="Y1095" t="s">
        <v>1046</v>
      </c>
    </row>
    <row r="1096" spans="1:25">
      <c r="A1096">
        <v>13529</v>
      </c>
      <c r="B1096" t="s">
        <v>25</v>
      </c>
      <c r="C1096" t="str">
        <f t="shared" si="35"/>
        <v>INTEGRA Saloon</v>
      </c>
      <c r="D1096" t="str">
        <f t="shared" si="34"/>
        <v>1.6</v>
      </c>
      <c r="E1096" t="s">
        <v>26</v>
      </c>
      <c r="F1096">
        <v>198501</v>
      </c>
      <c r="G1096">
        <v>199012</v>
      </c>
      <c r="H1096">
        <v>74</v>
      </c>
      <c r="I1096">
        <v>100</v>
      </c>
      <c r="J1096">
        <v>1590</v>
      </c>
      <c r="K1096">
        <v>3718014</v>
      </c>
      <c r="L1096" t="s">
        <v>1488</v>
      </c>
      <c r="M1096" t="str">
        <f>"3308"</f>
        <v>3308</v>
      </c>
      <c r="N1096" t="str">
        <f>"3308"</f>
        <v>3308</v>
      </c>
      <c r="O1096" t="str">
        <f>""</f>
        <v/>
      </c>
      <c r="P1096" t="s">
        <v>1043</v>
      </c>
      <c r="Q1096" t="str">
        <f>"8435120311248"</f>
        <v>8435120311248</v>
      </c>
      <c r="R1096" t="s">
        <v>1491</v>
      </c>
      <c r="T1096" s="1" t="s">
        <v>1492</v>
      </c>
      <c r="U1096">
        <v>691</v>
      </c>
      <c r="V1096" t="s">
        <v>1043</v>
      </c>
      <c r="W1096" t="s">
        <v>1043</v>
      </c>
      <c r="X1096" t="s">
        <v>1025</v>
      </c>
      <c r="Y1096" t="s">
        <v>1046</v>
      </c>
    </row>
    <row r="1097" spans="1:25">
      <c r="A1097">
        <v>13529</v>
      </c>
      <c r="B1097" t="s">
        <v>25</v>
      </c>
      <c r="C1097" t="str">
        <f t="shared" si="35"/>
        <v>INTEGRA Saloon</v>
      </c>
      <c r="D1097" t="str">
        <f t="shared" si="34"/>
        <v>1.6</v>
      </c>
      <c r="E1097" t="s">
        <v>26</v>
      </c>
      <c r="F1097">
        <v>198501</v>
      </c>
      <c r="G1097">
        <v>199012</v>
      </c>
      <c r="H1097">
        <v>74</v>
      </c>
      <c r="I1097">
        <v>100</v>
      </c>
      <c r="J1097">
        <v>1590</v>
      </c>
      <c r="K1097">
        <v>2591544</v>
      </c>
      <c r="L1097" t="s">
        <v>1453</v>
      </c>
      <c r="M1097" t="str">
        <f>"27969"</f>
        <v>27969</v>
      </c>
      <c r="N1097" t="str">
        <f>"2.7969"</f>
        <v>2.7969</v>
      </c>
      <c r="O1097" t="str">
        <f>"EPS 1.322.069"</f>
        <v>EPS 1.322.069</v>
      </c>
      <c r="P1097" t="s">
        <v>1049</v>
      </c>
      <c r="Q1097" t="str">
        <f>"8012510015759"</f>
        <v>8012510015759</v>
      </c>
      <c r="S1097" t="s">
        <v>1493</v>
      </c>
      <c r="T1097" s="1" t="s">
        <v>1494</v>
      </c>
      <c r="U1097">
        <v>692</v>
      </c>
      <c r="V1097" t="s">
        <v>1049</v>
      </c>
      <c r="W1097" t="s">
        <v>1051</v>
      </c>
      <c r="X1097" t="s">
        <v>1025</v>
      </c>
      <c r="Y1097" t="s">
        <v>1046</v>
      </c>
    </row>
    <row r="1098" spans="1:25">
      <c r="A1098">
        <v>13529</v>
      </c>
      <c r="B1098" t="s">
        <v>25</v>
      </c>
      <c r="C1098" t="str">
        <f t="shared" si="35"/>
        <v>INTEGRA Saloon</v>
      </c>
      <c r="D1098" t="str">
        <f t="shared" si="34"/>
        <v>1.6</v>
      </c>
      <c r="E1098" t="s">
        <v>26</v>
      </c>
      <c r="F1098">
        <v>198501</v>
      </c>
      <c r="G1098">
        <v>199012</v>
      </c>
      <c r="H1098">
        <v>74</v>
      </c>
      <c r="I1098">
        <v>100</v>
      </c>
      <c r="J1098">
        <v>1590</v>
      </c>
      <c r="K1098">
        <v>2591553</v>
      </c>
      <c r="L1098" t="s">
        <v>1453</v>
      </c>
      <c r="M1098" t="str">
        <f>"27985"</f>
        <v>27985</v>
      </c>
      <c r="N1098" t="str">
        <f>"2.7985"</f>
        <v>2.7985</v>
      </c>
      <c r="O1098" t="str">
        <f>"EPS 1.322.085"</f>
        <v>EPS 1.322.085</v>
      </c>
      <c r="P1098" t="s">
        <v>1049</v>
      </c>
      <c r="Q1098" t="str">
        <f>""</f>
        <v/>
      </c>
      <c r="S1098" t="s">
        <v>1495</v>
      </c>
      <c r="T1098" s="1" t="s">
        <v>1496</v>
      </c>
      <c r="U1098">
        <v>692</v>
      </c>
      <c r="V1098" t="s">
        <v>1049</v>
      </c>
      <c r="W1098" t="s">
        <v>1051</v>
      </c>
      <c r="X1098" t="s">
        <v>1025</v>
      </c>
      <c r="Y1098" t="s">
        <v>1046</v>
      </c>
    </row>
    <row r="1099" spans="1:25">
      <c r="A1099">
        <v>13529</v>
      </c>
      <c r="B1099" t="s">
        <v>25</v>
      </c>
      <c r="C1099" t="str">
        <f t="shared" si="35"/>
        <v>INTEGRA Saloon</v>
      </c>
      <c r="D1099" t="str">
        <f t="shared" si="34"/>
        <v>1.6</v>
      </c>
      <c r="E1099" t="s">
        <v>26</v>
      </c>
      <c r="F1099">
        <v>198501</v>
      </c>
      <c r="G1099">
        <v>199012</v>
      </c>
      <c r="H1099">
        <v>74</v>
      </c>
      <c r="I1099">
        <v>100</v>
      </c>
      <c r="J1099">
        <v>1590</v>
      </c>
      <c r="K1099">
        <v>2706963</v>
      </c>
      <c r="L1099" t="s">
        <v>1458</v>
      </c>
      <c r="M1099" t="str">
        <f>"V26700007"</f>
        <v>V26700007</v>
      </c>
      <c r="N1099" t="str">
        <f>"V26-70-0007"</f>
        <v>V26-70-0007</v>
      </c>
      <c r="O1099" t="str">
        <f>""</f>
        <v/>
      </c>
      <c r="P1099" t="s">
        <v>1049</v>
      </c>
      <c r="Q1099" t="str">
        <f>"4046001428159"</f>
        <v>4046001428159</v>
      </c>
      <c r="S1099" t="s">
        <v>1497</v>
      </c>
      <c r="T1099" s="1" t="s">
        <v>1498</v>
      </c>
      <c r="U1099">
        <v>692</v>
      </c>
      <c r="V1099" t="s">
        <v>1049</v>
      </c>
      <c r="W1099" t="s">
        <v>1051</v>
      </c>
      <c r="X1099" t="s">
        <v>1025</v>
      </c>
      <c r="Y1099" t="s">
        <v>1046</v>
      </c>
    </row>
    <row r="1100" spans="1:25">
      <c r="A1100">
        <v>13529</v>
      </c>
      <c r="B1100" t="s">
        <v>25</v>
      </c>
      <c r="C1100" t="str">
        <f t="shared" si="35"/>
        <v>INTEGRA Saloon</v>
      </c>
      <c r="D1100" t="str">
        <f t="shared" si="34"/>
        <v>1.6</v>
      </c>
      <c r="E1100" t="s">
        <v>26</v>
      </c>
      <c r="F1100">
        <v>198501</v>
      </c>
      <c r="G1100">
        <v>199012</v>
      </c>
      <c r="H1100">
        <v>74</v>
      </c>
      <c r="I1100">
        <v>100</v>
      </c>
      <c r="J1100">
        <v>1590</v>
      </c>
      <c r="K1100">
        <v>2706972</v>
      </c>
      <c r="L1100" t="s">
        <v>1458</v>
      </c>
      <c r="M1100" t="str">
        <f>"V26700018"</f>
        <v>V26700018</v>
      </c>
      <c r="N1100" t="str">
        <f>"V26-70-0018"</f>
        <v>V26-70-0018</v>
      </c>
      <c r="O1100" t="str">
        <f>""</f>
        <v/>
      </c>
      <c r="P1100" t="s">
        <v>1049</v>
      </c>
      <c r="Q1100" t="str">
        <f>"4046001500640"</f>
        <v>4046001500640</v>
      </c>
      <c r="R1100" t="s">
        <v>1499</v>
      </c>
      <c r="S1100" t="s">
        <v>1500</v>
      </c>
      <c r="T1100" s="1" t="s">
        <v>1501</v>
      </c>
      <c r="U1100">
        <v>692</v>
      </c>
      <c r="V1100" t="s">
        <v>1049</v>
      </c>
      <c r="W1100" t="s">
        <v>1051</v>
      </c>
      <c r="X1100" t="s">
        <v>1025</v>
      </c>
      <c r="Y1100" t="s">
        <v>1046</v>
      </c>
    </row>
    <row r="1101" spans="1:25">
      <c r="A1101">
        <v>13529</v>
      </c>
      <c r="B1101" t="s">
        <v>25</v>
      </c>
      <c r="C1101" t="str">
        <f t="shared" si="35"/>
        <v>INTEGRA Saloon</v>
      </c>
      <c r="D1101" t="str">
        <f t="shared" si="34"/>
        <v>1.6</v>
      </c>
      <c r="E1101" t="s">
        <v>26</v>
      </c>
      <c r="F1101">
        <v>198501</v>
      </c>
      <c r="G1101">
        <v>199012</v>
      </c>
      <c r="H1101">
        <v>74</v>
      </c>
      <c r="I1101">
        <v>100</v>
      </c>
      <c r="J1101">
        <v>1590</v>
      </c>
      <c r="K1101">
        <v>3717837</v>
      </c>
      <c r="L1101" t="s">
        <v>1488</v>
      </c>
      <c r="M1101" t="str">
        <f>"2308"</f>
        <v>2308</v>
      </c>
      <c r="N1101" t="str">
        <f>"2308"</f>
        <v>2308</v>
      </c>
      <c r="O1101" t="str">
        <f>""</f>
        <v/>
      </c>
      <c r="P1101" t="s">
        <v>1049</v>
      </c>
      <c r="Q1101" t="str">
        <f>"8435120309795"</f>
        <v>8435120309795</v>
      </c>
      <c r="R1101" t="s">
        <v>1502</v>
      </c>
      <c r="T1101" s="1" t="s">
        <v>1503</v>
      </c>
      <c r="U1101">
        <v>692</v>
      </c>
      <c r="V1101" t="s">
        <v>1049</v>
      </c>
      <c r="W1101" t="s">
        <v>1051</v>
      </c>
      <c r="X1101" t="s">
        <v>1025</v>
      </c>
      <c r="Y1101" t="s">
        <v>1046</v>
      </c>
    </row>
    <row r="1102" spans="1:25">
      <c r="A1102">
        <v>13529</v>
      </c>
      <c r="B1102" t="s">
        <v>25</v>
      </c>
      <c r="C1102" t="str">
        <f t="shared" si="35"/>
        <v>INTEGRA Saloon</v>
      </c>
      <c r="D1102" t="str">
        <f t="shared" si="34"/>
        <v>1.6</v>
      </c>
      <c r="E1102" t="s">
        <v>26</v>
      </c>
      <c r="F1102">
        <v>198501</v>
      </c>
      <c r="G1102">
        <v>199012</v>
      </c>
      <c r="H1102">
        <v>74</v>
      </c>
      <c r="I1102">
        <v>100</v>
      </c>
      <c r="J1102">
        <v>1590</v>
      </c>
      <c r="K1102">
        <v>3717846</v>
      </c>
      <c r="L1102" t="s">
        <v>1488</v>
      </c>
      <c r="M1102" t="str">
        <f>"2317001"</f>
        <v>2317001</v>
      </c>
      <c r="N1102" t="str">
        <f>"2317001"</f>
        <v>2317001</v>
      </c>
      <c r="O1102" t="str">
        <f>""</f>
        <v/>
      </c>
      <c r="P1102" t="s">
        <v>1049</v>
      </c>
      <c r="Q1102" t="str">
        <f>"8435120318711"</f>
        <v>8435120318711</v>
      </c>
      <c r="R1102" t="s">
        <v>1504</v>
      </c>
      <c r="T1102" t="s">
        <v>1505</v>
      </c>
      <c r="U1102">
        <v>692</v>
      </c>
      <c r="V1102" t="s">
        <v>1049</v>
      </c>
      <c r="W1102" t="s">
        <v>1051</v>
      </c>
      <c r="X1102" t="s">
        <v>1025</v>
      </c>
      <c r="Y1102" t="s">
        <v>1046</v>
      </c>
    </row>
    <row r="1103" spans="1:25">
      <c r="A1103">
        <v>13529</v>
      </c>
      <c r="B1103" t="s">
        <v>25</v>
      </c>
      <c r="C1103" t="str">
        <f t="shared" si="35"/>
        <v>INTEGRA Saloon</v>
      </c>
      <c r="D1103" t="str">
        <f t="shared" si="34"/>
        <v>1.6</v>
      </c>
      <c r="E1103" t="s">
        <v>26</v>
      </c>
      <c r="F1103">
        <v>198501</v>
      </c>
      <c r="G1103">
        <v>199012</v>
      </c>
      <c r="H1103">
        <v>74</v>
      </c>
      <c r="I1103">
        <v>100</v>
      </c>
      <c r="J1103">
        <v>1590</v>
      </c>
      <c r="K1103">
        <v>592985</v>
      </c>
      <c r="L1103" t="s">
        <v>636</v>
      </c>
      <c r="M1103" t="str">
        <f>"NJ254"</f>
        <v>NJ254</v>
      </c>
      <c r="N1103" t="str">
        <f>"NJ254"</f>
        <v>NJ254</v>
      </c>
      <c r="O1103" t="str">
        <f>""</f>
        <v/>
      </c>
      <c r="P1103" t="s">
        <v>1057</v>
      </c>
      <c r="Q1103" t="str">
        <f>""</f>
        <v/>
      </c>
      <c r="R1103" t="s">
        <v>1506</v>
      </c>
      <c r="S1103" t="s">
        <v>1260</v>
      </c>
      <c r="T1103" t="s">
        <v>1507</v>
      </c>
      <c r="U1103">
        <v>757</v>
      </c>
      <c r="V1103" t="s">
        <v>1057</v>
      </c>
      <c r="W1103" t="s">
        <v>987</v>
      </c>
      <c r="X1103" t="s">
        <v>1058</v>
      </c>
      <c r="Y1103" t="s">
        <v>1059</v>
      </c>
    </row>
    <row r="1104" spans="1:25">
      <c r="A1104">
        <v>13529</v>
      </c>
      <c r="B1104" t="s">
        <v>25</v>
      </c>
      <c r="C1104" t="str">
        <f t="shared" si="35"/>
        <v>INTEGRA Saloon</v>
      </c>
      <c r="D1104" t="str">
        <f t="shared" si="34"/>
        <v>1.6</v>
      </c>
      <c r="E1104" t="s">
        <v>26</v>
      </c>
      <c r="F1104">
        <v>198501</v>
      </c>
      <c r="G1104">
        <v>199012</v>
      </c>
      <c r="H1104">
        <v>74</v>
      </c>
      <c r="I1104">
        <v>100</v>
      </c>
      <c r="J1104">
        <v>1590</v>
      </c>
      <c r="K1104">
        <v>837523</v>
      </c>
      <c r="L1104" t="s">
        <v>1291</v>
      </c>
      <c r="M1104" t="str">
        <f>"OS6320"</f>
        <v>OS6320</v>
      </c>
      <c r="N1104" t="str">
        <f>"OS6320"</f>
        <v>OS6320</v>
      </c>
      <c r="O1104" t="str">
        <f>""</f>
        <v/>
      </c>
      <c r="P1104" t="s">
        <v>1057</v>
      </c>
      <c r="Q1104" t="str">
        <f>""</f>
        <v/>
      </c>
      <c r="R1104" t="s">
        <v>1508</v>
      </c>
      <c r="S1104" t="s">
        <v>1293</v>
      </c>
      <c r="T1104" s="1" t="s">
        <v>1509</v>
      </c>
      <c r="U1104">
        <v>757</v>
      </c>
      <c r="V1104" t="s">
        <v>1057</v>
      </c>
      <c r="W1104" t="s">
        <v>987</v>
      </c>
      <c r="X1104" t="s">
        <v>1058</v>
      </c>
      <c r="Y1104" t="s">
        <v>1059</v>
      </c>
    </row>
    <row r="1105" spans="1:25">
      <c r="A1105">
        <v>13529</v>
      </c>
      <c r="B1105" t="s">
        <v>25</v>
      </c>
      <c r="C1105" t="str">
        <f t="shared" si="35"/>
        <v>INTEGRA Saloon</v>
      </c>
      <c r="D1105" t="str">
        <f t="shared" si="34"/>
        <v>1.6</v>
      </c>
      <c r="E1105" t="s">
        <v>26</v>
      </c>
      <c r="F1105">
        <v>198501</v>
      </c>
      <c r="G1105">
        <v>199012</v>
      </c>
      <c r="H1105">
        <v>74</v>
      </c>
      <c r="I1105">
        <v>100</v>
      </c>
      <c r="J1105">
        <v>1590</v>
      </c>
      <c r="K1105">
        <v>1140315</v>
      </c>
      <c r="L1105" t="s">
        <v>659</v>
      </c>
      <c r="M1105" t="str">
        <f>"591777"</f>
        <v>591777</v>
      </c>
      <c r="N1105" t="str">
        <f>"591.777"</f>
        <v>591.777</v>
      </c>
      <c r="O1105" t="str">
        <f>""</f>
        <v/>
      </c>
      <c r="P1105" t="s">
        <v>1060</v>
      </c>
      <c r="Q1105" t="str">
        <f>"4041248120620"</f>
        <v>4041248120620</v>
      </c>
      <c r="R1105" t="s">
        <v>1510</v>
      </c>
      <c r="T1105" s="1" t="s">
        <v>1511</v>
      </c>
      <c r="U1105">
        <v>757</v>
      </c>
      <c r="V1105" t="s">
        <v>1057</v>
      </c>
      <c r="W1105" t="s">
        <v>987</v>
      </c>
      <c r="X1105" t="s">
        <v>1058</v>
      </c>
      <c r="Y1105" t="s">
        <v>1059</v>
      </c>
    </row>
    <row r="1106" spans="1:25">
      <c r="A1106">
        <v>13529</v>
      </c>
      <c r="B1106" t="s">
        <v>25</v>
      </c>
      <c r="C1106" t="str">
        <f t="shared" si="35"/>
        <v>INTEGRA Saloon</v>
      </c>
      <c r="D1106" t="str">
        <f t="shared" si="34"/>
        <v>1.6</v>
      </c>
      <c r="E1106" t="s">
        <v>26</v>
      </c>
      <c r="F1106">
        <v>198501</v>
      </c>
      <c r="G1106">
        <v>199012</v>
      </c>
      <c r="H1106">
        <v>74</v>
      </c>
      <c r="I1106">
        <v>100</v>
      </c>
      <c r="J1106">
        <v>1590</v>
      </c>
      <c r="K1106">
        <v>687588</v>
      </c>
      <c r="L1106" t="s">
        <v>1275</v>
      </c>
      <c r="M1106" t="str">
        <f>"1193502500"</f>
        <v>1193502500</v>
      </c>
      <c r="N1106" t="str">
        <f>"1193502500"</f>
        <v>1193502500</v>
      </c>
      <c r="O1106" t="str">
        <f>""</f>
        <v/>
      </c>
      <c r="P1106" t="s">
        <v>1066</v>
      </c>
      <c r="Q1106" t="str">
        <f>"5710412472726"</f>
        <v>5710412472726</v>
      </c>
      <c r="R1106" t="s">
        <v>1512</v>
      </c>
      <c r="S1106" t="s">
        <v>1454</v>
      </c>
      <c r="T1106" s="1" t="s">
        <v>1513</v>
      </c>
      <c r="U1106">
        <v>805</v>
      </c>
      <c r="V1106" t="s">
        <v>1066</v>
      </c>
      <c r="W1106" t="s">
        <v>1069</v>
      </c>
      <c r="X1106" t="s">
        <v>71</v>
      </c>
      <c r="Y1106" t="s">
        <v>1070</v>
      </c>
    </row>
    <row r="1107" spans="1:25">
      <c r="A1107">
        <v>13529</v>
      </c>
      <c r="B1107" t="s">
        <v>25</v>
      </c>
      <c r="C1107" t="str">
        <f t="shared" si="35"/>
        <v>INTEGRA Saloon</v>
      </c>
      <c r="D1107" t="str">
        <f t="shared" si="34"/>
        <v>1.6</v>
      </c>
      <c r="E1107" t="s">
        <v>26</v>
      </c>
      <c r="F1107">
        <v>198501</v>
      </c>
      <c r="G1107">
        <v>199012</v>
      </c>
      <c r="H1107">
        <v>74</v>
      </c>
      <c r="I1107">
        <v>100</v>
      </c>
      <c r="J1107">
        <v>1590</v>
      </c>
      <c r="K1107">
        <v>2592153</v>
      </c>
      <c r="L1107" t="s">
        <v>1453</v>
      </c>
      <c r="M1107" t="str">
        <f>"70015"</f>
        <v>70015</v>
      </c>
      <c r="N1107" t="str">
        <f>"7.0015"</f>
        <v>7.0015</v>
      </c>
      <c r="O1107" t="str">
        <f>"EPS 1.800.015"</f>
        <v>EPS 1.800.015</v>
      </c>
      <c r="P1107" t="s">
        <v>1066</v>
      </c>
      <c r="Q1107" t="str">
        <f>"8012510037522"</f>
        <v>8012510037522</v>
      </c>
      <c r="S1107" t="s">
        <v>1456</v>
      </c>
      <c r="T1107" s="1" t="s">
        <v>1514</v>
      </c>
      <c r="U1107">
        <v>805</v>
      </c>
      <c r="V1107" t="s">
        <v>1066</v>
      </c>
      <c r="W1107" t="s">
        <v>1069</v>
      </c>
      <c r="X1107" t="s">
        <v>71</v>
      </c>
      <c r="Y1107" t="s">
        <v>1070</v>
      </c>
    </row>
    <row r="1108" spans="1:25">
      <c r="A1108">
        <v>13529</v>
      </c>
      <c r="B1108" t="s">
        <v>25</v>
      </c>
      <c r="C1108" t="str">
        <f t="shared" si="35"/>
        <v>INTEGRA Saloon</v>
      </c>
      <c r="D1108" t="str">
        <f t="shared" si="34"/>
        <v>1.6</v>
      </c>
      <c r="E1108" t="s">
        <v>26</v>
      </c>
      <c r="F1108">
        <v>198501</v>
      </c>
      <c r="G1108">
        <v>199012</v>
      </c>
      <c r="H1108">
        <v>74</v>
      </c>
      <c r="I1108">
        <v>100</v>
      </c>
      <c r="J1108">
        <v>1590</v>
      </c>
      <c r="K1108">
        <v>2592155</v>
      </c>
      <c r="L1108" t="s">
        <v>1453</v>
      </c>
      <c r="M1108" t="str">
        <f>"70017"</f>
        <v>70017</v>
      </c>
      <c r="N1108" t="str">
        <f>"7.0017"</f>
        <v>7.0017</v>
      </c>
      <c r="O1108" t="str">
        <f>"EPS 1.800.017"</f>
        <v>EPS 1.800.017</v>
      </c>
      <c r="P1108" t="s">
        <v>1066</v>
      </c>
      <c r="Q1108" t="str">
        <f>"8012510037546"</f>
        <v>8012510037546</v>
      </c>
      <c r="S1108" t="s">
        <v>1454</v>
      </c>
      <c r="T1108" s="1" t="s">
        <v>1515</v>
      </c>
      <c r="U1108">
        <v>805</v>
      </c>
      <c r="V1108" t="s">
        <v>1066</v>
      </c>
      <c r="W1108" t="s">
        <v>1069</v>
      </c>
      <c r="X1108" t="s">
        <v>71</v>
      </c>
      <c r="Y1108" t="s">
        <v>1070</v>
      </c>
    </row>
    <row r="1109" spans="1:25">
      <c r="A1109">
        <v>13529</v>
      </c>
      <c r="B1109" t="s">
        <v>25</v>
      </c>
      <c r="C1109" t="str">
        <f t="shared" si="35"/>
        <v>INTEGRA Saloon</v>
      </c>
      <c r="D1109" t="str">
        <f t="shared" si="34"/>
        <v>1.6</v>
      </c>
      <c r="E1109" t="s">
        <v>26</v>
      </c>
      <c r="F1109">
        <v>198501</v>
      </c>
      <c r="G1109">
        <v>199012</v>
      </c>
      <c r="H1109">
        <v>74</v>
      </c>
      <c r="I1109">
        <v>100</v>
      </c>
      <c r="J1109">
        <v>1590</v>
      </c>
      <c r="K1109">
        <v>2708237</v>
      </c>
      <c r="L1109" t="s">
        <v>1458</v>
      </c>
      <c r="M1109" t="str">
        <f>"V32730001"</f>
        <v>V32730001</v>
      </c>
      <c r="N1109" t="str">
        <f>"V32-73-0001"</f>
        <v>V32-73-0001</v>
      </c>
      <c r="O1109" t="str">
        <f>""</f>
        <v/>
      </c>
      <c r="P1109" t="s">
        <v>1066</v>
      </c>
      <c r="Q1109" t="str">
        <f>"4046001377419"</f>
        <v>4046001377419</v>
      </c>
      <c r="R1109" t="s">
        <v>1516</v>
      </c>
      <c r="S1109" t="s">
        <v>1454</v>
      </c>
      <c r="T1109" s="1" t="s">
        <v>1517</v>
      </c>
      <c r="U1109">
        <v>805</v>
      </c>
      <c r="V1109" t="s">
        <v>1066</v>
      </c>
      <c r="W1109" t="s">
        <v>1069</v>
      </c>
      <c r="X1109" t="s">
        <v>71</v>
      </c>
      <c r="Y1109" t="s">
        <v>1070</v>
      </c>
    </row>
    <row r="1110" spans="1:25">
      <c r="A1110">
        <v>13529</v>
      </c>
      <c r="B1110" t="s">
        <v>25</v>
      </c>
      <c r="C1110" t="str">
        <f t="shared" si="35"/>
        <v>INTEGRA Saloon</v>
      </c>
      <c r="D1110" t="str">
        <f t="shared" si="34"/>
        <v>1.6</v>
      </c>
      <c r="E1110" t="s">
        <v>26</v>
      </c>
      <c r="F1110">
        <v>198501</v>
      </c>
      <c r="G1110">
        <v>199012</v>
      </c>
      <c r="H1110">
        <v>74</v>
      </c>
      <c r="I1110">
        <v>100</v>
      </c>
      <c r="J1110">
        <v>1590</v>
      </c>
      <c r="K1110">
        <v>2709231</v>
      </c>
      <c r="L1110" t="s">
        <v>1458</v>
      </c>
      <c r="M1110" t="str">
        <f>"V40730004"</f>
        <v>V40730004</v>
      </c>
      <c r="N1110" t="str">
        <f>"V40-73-0004"</f>
        <v>V40-73-0004</v>
      </c>
      <c r="O1110" t="str">
        <f>""</f>
        <v/>
      </c>
      <c r="P1110" t="s">
        <v>1066</v>
      </c>
      <c r="Q1110" t="str">
        <f>"4046001325694"</f>
        <v>4046001325694</v>
      </c>
      <c r="R1110" t="s">
        <v>1518</v>
      </c>
      <c r="S1110" t="s">
        <v>1456</v>
      </c>
      <c r="T1110" s="1" t="s">
        <v>1519</v>
      </c>
      <c r="U1110">
        <v>805</v>
      </c>
      <c r="V1110" t="s">
        <v>1066</v>
      </c>
      <c r="W1110" t="s">
        <v>1069</v>
      </c>
      <c r="X1110" t="s">
        <v>71</v>
      </c>
      <c r="Y1110" t="s">
        <v>1070</v>
      </c>
    </row>
    <row r="1111" spans="1:25">
      <c r="A1111">
        <v>13529</v>
      </c>
      <c r="B1111" t="s">
        <v>25</v>
      </c>
      <c r="C1111" t="str">
        <f t="shared" si="35"/>
        <v>INTEGRA Saloon</v>
      </c>
      <c r="D1111" t="str">
        <f t="shared" si="34"/>
        <v>1.6</v>
      </c>
      <c r="E1111" t="s">
        <v>26</v>
      </c>
      <c r="F1111">
        <v>198501</v>
      </c>
      <c r="G1111">
        <v>199012</v>
      </c>
      <c r="H1111">
        <v>74</v>
      </c>
      <c r="I1111">
        <v>100</v>
      </c>
      <c r="J1111">
        <v>1590</v>
      </c>
      <c r="K1111">
        <v>2900402</v>
      </c>
      <c r="L1111" t="s">
        <v>1520</v>
      </c>
      <c r="M1111" t="str">
        <f>"OS3538"</f>
        <v>OS3538</v>
      </c>
      <c r="N1111" t="str">
        <f>"OS3538"</f>
        <v>OS3538</v>
      </c>
      <c r="O1111" t="str">
        <f>""</f>
        <v/>
      </c>
      <c r="P1111" t="s">
        <v>1066</v>
      </c>
      <c r="Q1111" t="str">
        <f>"3531650013487"</f>
        <v>3531650013487</v>
      </c>
      <c r="R1111" t="s">
        <v>1521</v>
      </c>
      <c r="T1111" s="1" t="s">
        <v>1522</v>
      </c>
      <c r="U1111">
        <v>805</v>
      </c>
      <c r="V1111" t="s">
        <v>1066</v>
      </c>
      <c r="W1111" t="s">
        <v>1069</v>
      </c>
      <c r="X1111" t="s">
        <v>71</v>
      </c>
      <c r="Y1111" t="s">
        <v>1070</v>
      </c>
    </row>
    <row r="1112" spans="1:25">
      <c r="A1112">
        <v>13529</v>
      </c>
      <c r="B1112" t="s">
        <v>25</v>
      </c>
      <c r="C1112" t="str">
        <f t="shared" si="35"/>
        <v>INTEGRA Saloon</v>
      </c>
      <c r="D1112" t="str">
        <f t="shared" si="34"/>
        <v>1.6</v>
      </c>
      <c r="E1112" t="s">
        <v>26</v>
      </c>
      <c r="F1112">
        <v>198501</v>
      </c>
      <c r="G1112">
        <v>199012</v>
      </c>
      <c r="H1112">
        <v>74</v>
      </c>
      <c r="I1112">
        <v>100</v>
      </c>
      <c r="J1112">
        <v>1590</v>
      </c>
      <c r="K1112">
        <v>2900433</v>
      </c>
      <c r="L1112" t="s">
        <v>1520</v>
      </c>
      <c r="M1112" t="str">
        <f>"OS3577"</f>
        <v>OS3577</v>
      </c>
      <c r="N1112" t="str">
        <f>"OS3577"</f>
        <v>OS3577</v>
      </c>
      <c r="O1112" t="str">
        <f>""</f>
        <v/>
      </c>
      <c r="P1112" t="s">
        <v>1066</v>
      </c>
      <c r="Q1112" t="str">
        <f>"3531650022151"</f>
        <v>3531650022151</v>
      </c>
      <c r="R1112" t="s">
        <v>1521</v>
      </c>
      <c r="S1112" t="s">
        <v>1250</v>
      </c>
      <c r="T1112" s="1" t="s">
        <v>1523</v>
      </c>
      <c r="U1112">
        <v>805</v>
      </c>
      <c r="V1112" t="s">
        <v>1066</v>
      </c>
      <c r="W1112" t="s">
        <v>1069</v>
      </c>
      <c r="X1112" t="s">
        <v>71</v>
      </c>
      <c r="Y1112" t="s">
        <v>1070</v>
      </c>
    </row>
    <row r="1113" spans="1:25">
      <c r="A1113">
        <v>13529</v>
      </c>
      <c r="B1113" t="s">
        <v>25</v>
      </c>
      <c r="C1113" t="str">
        <f t="shared" si="35"/>
        <v>INTEGRA Saloon</v>
      </c>
      <c r="D1113" t="str">
        <f t="shared" si="34"/>
        <v>1.6</v>
      </c>
      <c r="E1113" t="s">
        <v>26</v>
      </c>
      <c r="F1113">
        <v>198501</v>
      </c>
      <c r="G1113">
        <v>199012</v>
      </c>
      <c r="H1113">
        <v>74</v>
      </c>
      <c r="I1113">
        <v>100</v>
      </c>
      <c r="J1113">
        <v>1590</v>
      </c>
      <c r="K1113">
        <v>2947689</v>
      </c>
      <c r="L1113" t="s">
        <v>1463</v>
      </c>
      <c r="M1113" t="str">
        <f>"330007"</f>
        <v>330007</v>
      </c>
      <c r="N1113" t="str">
        <f>"330007"</f>
        <v>330007</v>
      </c>
      <c r="O1113" t="str">
        <f>""</f>
        <v/>
      </c>
      <c r="P1113" t="s">
        <v>1066</v>
      </c>
      <c r="Q1113" t="str">
        <f>""</f>
        <v/>
      </c>
      <c r="R1113" t="s">
        <v>1524</v>
      </c>
      <c r="T1113" s="1" t="s">
        <v>1525</v>
      </c>
      <c r="U1113">
        <v>805</v>
      </c>
      <c r="V1113" t="s">
        <v>1066</v>
      </c>
      <c r="W1113" t="s">
        <v>1069</v>
      </c>
      <c r="X1113" t="s">
        <v>71</v>
      </c>
      <c r="Y1113" t="s">
        <v>1070</v>
      </c>
    </row>
    <row r="1114" spans="1:25">
      <c r="A1114">
        <v>13529</v>
      </c>
      <c r="B1114" t="s">
        <v>25</v>
      </c>
      <c r="C1114" t="str">
        <f t="shared" si="35"/>
        <v>INTEGRA Saloon</v>
      </c>
      <c r="D1114" t="str">
        <f t="shared" si="34"/>
        <v>1.6</v>
      </c>
      <c r="E1114" t="s">
        <v>26</v>
      </c>
      <c r="F1114">
        <v>198501</v>
      </c>
      <c r="G1114">
        <v>199012</v>
      </c>
      <c r="H1114">
        <v>74</v>
      </c>
      <c r="I1114">
        <v>100</v>
      </c>
      <c r="J1114">
        <v>1590</v>
      </c>
      <c r="K1114">
        <v>2947691</v>
      </c>
      <c r="L1114" t="s">
        <v>1463</v>
      </c>
      <c r="M1114" t="str">
        <f>"330009"</f>
        <v>330009</v>
      </c>
      <c r="N1114" t="str">
        <f>"330009"</f>
        <v>330009</v>
      </c>
      <c r="O1114" t="str">
        <f>""</f>
        <v/>
      </c>
      <c r="P1114" t="s">
        <v>1066</v>
      </c>
      <c r="Q1114" t="str">
        <f>""</f>
        <v/>
      </c>
      <c r="R1114" t="s">
        <v>1526</v>
      </c>
      <c r="T1114" s="1" t="s">
        <v>1527</v>
      </c>
      <c r="U1114">
        <v>805</v>
      </c>
      <c r="V1114" t="s">
        <v>1066</v>
      </c>
      <c r="W1114" t="s">
        <v>1069</v>
      </c>
      <c r="X1114" t="s">
        <v>71</v>
      </c>
      <c r="Y1114" t="s">
        <v>1070</v>
      </c>
    </row>
    <row r="1115" spans="1:25">
      <c r="A1115">
        <v>13529</v>
      </c>
      <c r="B1115" t="s">
        <v>25</v>
      </c>
      <c r="C1115" t="str">
        <f t="shared" si="35"/>
        <v>INTEGRA Saloon</v>
      </c>
      <c r="D1115" t="str">
        <f t="shared" si="34"/>
        <v>1.6</v>
      </c>
      <c r="E1115" t="s">
        <v>26</v>
      </c>
      <c r="F1115">
        <v>198501</v>
      </c>
      <c r="G1115">
        <v>199012</v>
      </c>
      <c r="H1115">
        <v>74</v>
      </c>
      <c r="I1115">
        <v>100</v>
      </c>
      <c r="J1115">
        <v>1590</v>
      </c>
      <c r="K1115">
        <v>2987046</v>
      </c>
      <c r="L1115" t="s">
        <v>1528</v>
      </c>
      <c r="M1115" t="str">
        <f>"11610"</f>
        <v>11610</v>
      </c>
      <c r="N1115" t="str">
        <f>"11610"</f>
        <v>11610</v>
      </c>
      <c r="O1115" t="str">
        <f>""</f>
        <v/>
      </c>
      <c r="P1115" t="s">
        <v>1066</v>
      </c>
      <c r="Q1115" t="str">
        <f>"8435050600351"</f>
        <v>8435050600351</v>
      </c>
      <c r="R1115" t="s">
        <v>1529</v>
      </c>
      <c r="T1115" s="1" t="s">
        <v>1530</v>
      </c>
      <c r="U1115">
        <v>805</v>
      </c>
      <c r="V1115" t="s">
        <v>1066</v>
      </c>
      <c r="W1115" t="s">
        <v>1069</v>
      </c>
      <c r="X1115" t="s">
        <v>71</v>
      </c>
      <c r="Y1115" t="s">
        <v>1070</v>
      </c>
    </row>
    <row r="1116" spans="1:25">
      <c r="A1116">
        <v>13529</v>
      </c>
      <c r="B1116" t="s">
        <v>25</v>
      </c>
      <c r="C1116" t="str">
        <f t="shared" si="35"/>
        <v>INTEGRA Saloon</v>
      </c>
      <c r="D1116" t="str">
        <f t="shared" si="34"/>
        <v>1.6</v>
      </c>
      <c r="E1116" t="s">
        <v>26</v>
      </c>
      <c r="F1116">
        <v>198501</v>
      </c>
      <c r="G1116">
        <v>199012</v>
      </c>
      <c r="H1116">
        <v>74</v>
      </c>
      <c r="I1116">
        <v>100</v>
      </c>
      <c r="J1116">
        <v>1590</v>
      </c>
      <c r="K1116">
        <v>3002260</v>
      </c>
      <c r="L1116" t="s">
        <v>151</v>
      </c>
      <c r="M1116" t="str">
        <f>"72002"</f>
        <v>72002</v>
      </c>
      <c r="N1116" t="str">
        <f>"72002"</f>
        <v>72002</v>
      </c>
      <c r="O1116" t="str">
        <f>""</f>
        <v/>
      </c>
      <c r="P1116" t="s">
        <v>1066</v>
      </c>
      <c r="Q1116" t="str">
        <f>""</f>
        <v/>
      </c>
      <c r="T1116" s="1" t="s">
        <v>1531</v>
      </c>
      <c r="U1116">
        <v>805</v>
      </c>
      <c r="V1116" t="s">
        <v>1066</v>
      </c>
      <c r="W1116" t="s">
        <v>1069</v>
      </c>
      <c r="X1116" t="s">
        <v>71</v>
      </c>
      <c r="Y1116" t="s">
        <v>1070</v>
      </c>
    </row>
    <row r="1117" spans="1:25">
      <c r="A1117">
        <v>13529</v>
      </c>
      <c r="B1117" t="s">
        <v>25</v>
      </c>
      <c r="C1117" t="str">
        <f t="shared" si="35"/>
        <v>INTEGRA Saloon</v>
      </c>
      <c r="D1117" t="str">
        <f t="shared" si="34"/>
        <v>1.6</v>
      </c>
      <c r="E1117" t="s">
        <v>26</v>
      </c>
      <c r="F1117">
        <v>198501</v>
      </c>
      <c r="G1117">
        <v>199012</v>
      </c>
      <c r="H1117">
        <v>74</v>
      </c>
      <c r="I1117">
        <v>100</v>
      </c>
      <c r="J1117">
        <v>1590</v>
      </c>
      <c r="K1117">
        <v>3034910</v>
      </c>
      <c r="L1117" t="s">
        <v>33</v>
      </c>
      <c r="M1117" t="str">
        <f>"J5611000"</f>
        <v>J5611000</v>
      </c>
      <c r="N1117" t="str">
        <f>"J5611000"</f>
        <v>J5611000</v>
      </c>
      <c r="O1117" t="str">
        <f>""</f>
        <v/>
      </c>
      <c r="P1117" t="s">
        <v>1066</v>
      </c>
      <c r="Q1117" t="str">
        <f>"8711768074951"</f>
        <v>8711768074951</v>
      </c>
      <c r="R1117" t="s">
        <v>1067</v>
      </c>
      <c r="T1117" s="1" t="s">
        <v>1532</v>
      </c>
      <c r="U1117">
        <v>805</v>
      </c>
      <c r="V1117" t="s">
        <v>1066</v>
      </c>
      <c r="W1117" t="s">
        <v>1069</v>
      </c>
      <c r="X1117" t="s">
        <v>71</v>
      </c>
      <c r="Y1117" t="s">
        <v>1070</v>
      </c>
    </row>
    <row r="1118" spans="1:25">
      <c r="A1118">
        <v>13529</v>
      </c>
      <c r="B1118" t="s">
        <v>25</v>
      </c>
      <c r="C1118" t="str">
        <f t="shared" si="35"/>
        <v>INTEGRA Saloon</v>
      </c>
      <c r="D1118" t="str">
        <f t="shared" si="34"/>
        <v>1.6</v>
      </c>
      <c r="E1118" t="s">
        <v>26</v>
      </c>
      <c r="F1118">
        <v>198501</v>
      </c>
      <c r="G1118">
        <v>199012</v>
      </c>
      <c r="H1118">
        <v>74</v>
      </c>
      <c r="I1118">
        <v>100</v>
      </c>
      <c r="J1118">
        <v>1590</v>
      </c>
      <c r="K1118">
        <v>3158352</v>
      </c>
      <c r="L1118" t="s">
        <v>1275</v>
      </c>
      <c r="M1118" t="str">
        <f>"1193502509"</f>
        <v>1193502509</v>
      </c>
      <c r="N1118" t="str">
        <f>"1193502509"</f>
        <v>1193502509</v>
      </c>
      <c r="O1118" t="str">
        <f>""</f>
        <v/>
      </c>
      <c r="P1118" t="s">
        <v>1066</v>
      </c>
      <c r="Q1118" t="str">
        <f>"5710412347475"</f>
        <v>5710412347475</v>
      </c>
      <c r="R1118" t="s">
        <v>1512</v>
      </c>
      <c r="S1118" t="s">
        <v>1454</v>
      </c>
      <c r="T1118" s="1" t="s">
        <v>1533</v>
      </c>
      <c r="U1118">
        <v>805</v>
      </c>
      <c r="V1118" t="s">
        <v>1066</v>
      </c>
      <c r="W1118" t="s">
        <v>1069</v>
      </c>
      <c r="X1118" t="s">
        <v>71</v>
      </c>
      <c r="Y1118" t="s">
        <v>1070</v>
      </c>
    </row>
    <row r="1119" spans="1:25">
      <c r="A1119">
        <v>13529</v>
      </c>
      <c r="B1119" t="s">
        <v>25</v>
      </c>
      <c r="C1119" t="str">
        <f t="shared" si="35"/>
        <v>INTEGRA Saloon</v>
      </c>
      <c r="D1119" t="str">
        <f t="shared" si="34"/>
        <v>1.6</v>
      </c>
      <c r="E1119" t="s">
        <v>26</v>
      </c>
      <c r="F1119">
        <v>198501</v>
      </c>
      <c r="G1119">
        <v>199012</v>
      </c>
      <c r="H1119">
        <v>74</v>
      </c>
      <c r="I1119">
        <v>100</v>
      </c>
      <c r="J1119">
        <v>1590</v>
      </c>
      <c r="K1119">
        <v>3529284</v>
      </c>
      <c r="L1119" t="s">
        <v>156</v>
      </c>
      <c r="M1119" t="str">
        <f>"7532002"</f>
        <v>7532002</v>
      </c>
      <c r="N1119" t="str">
        <f>"7532002"</f>
        <v>7532002</v>
      </c>
      <c r="O1119" t="str">
        <f>""</f>
        <v/>
      </c>
      <c r="P1119" t="s">
        <v>1066</v>
      </c>
      <c r="Q1119" t="str">
        <f>""</f>
        <v/>
      </c>
      <c r="T1119" s="1" t="s">
        <v>1531</v>
      </c>
      <c r="U1119">
        <v>805</v>
      </c>
      <c r="V1119" t="s">
        <v>1066</v>
      </c>
      <c r="W1119" t="s">
        <v>1069</v>
      </c>
      <c r="X1119" t="s">
        <v>71</v>
      </c>
      <c r="Y1119" t="s">
        <v>1070</v>
      </c>
    </row>
    <row r="1120" spans="1:25">
      <c r="A1120">
        <v>13529</v>
      </c>
      <c r="B1120" t="s">
        <v>25</v>
      </c>
      <c r="C1120" t="str">
        <f t="shared" si="35"/>
        <v>INTEGRA Saloon</v>
      </c>
      <c r="D1120" t="str">
        <f t="shared" si="34"/>
        <v>1.6</v>
      </c>
      <c r="E1120" t="s">
        <v>26</v>
      </c>
      <c r="F1120">
        <v>198501</v>
      </c>
      <c r="G1120">
        <v>199012</v>
      </c>
      <c r="H1120">
        <v>74</v>
      </c>
      <c r="I1120">
        <v>100</v>
      </c>
      <c r="J1120">
        <v>1590</v>
      </c>
      <c r="K1120">
        <v>3963916</v>
      </c>
      <c r="L1120" t="s">
        <v>27</v>
      </c>
      <c r="M1120" t="str">
        <f>"H10250"</f>
        <v>H10250</v>
      </c>
      <c r="N1120" t="str">
        <f>"H102-50"</f>
        <v>H102-50</v>
      </c>
      <c r="O1120" t="str">
        <f>""</f>
        <v/>
      </c>
      <c r="P1120" t="s">
        <v>1066</v>
      </c>
      <c r="Q1120" t="str">
        <f>"8718993209790"</f>
        <v>8718993209790</v>
      </c>
      <c r="R1120" t="s">
        <v>1071</v>
      </c>
      <c r="T1120" s="1" t="s">
        <v>1072</v>
      </c>
      <c r="U1120">
        <v>805</v>
      </c>
      <c r="V1120" t="s">
        <v>1066</v>
      </c>
      <c r="W1120" t="s">
        <v>1069</v>
      </c>
      <c r="X1120" t="s">
        <v>71</v>
      </c>
      <c r="Y1120" t="s">
        <v>1070</v>
      </c>
    </row>
    <row r="1121" spans="1:25">
      <c r="A1121">
        <v>13529</v>
      </c>
      <c r="B1121" t="s">
        <v>25</v>
      </c>
      <c r="C1121" t="str">
        <f t="shared" si="35"/>
        <v>INTEGRA Saloon</v>
      </c>
      <c r="D1121" t="str">
        <f t="shared" si="34"/>
        <v>1.6</v>
      </c>
      <c r="E1121" t="s">
        <v>26</v>
      </c>
      <c r="F1121">
        <v>198501</v>
      </c>
      <c r="G1121">
        <v>199012</v>
      </c>
      <c r="H1121">
        <v>74</v>
      </c>
      <c r="I1121">
        <v>100</v>
      </c>
      <c r="J1121">
        <v>1590</v>
      </c>
      <c r="K1121">
        <v>4693265</v>
      </c>
      <c r="L1121" t="s">
        <v>1534</v>
      </c>
      <c r="M1121" t="str">
        <f>"AS2070"</f>
        <v>AS2070</v>
      </c>
      <c r="N1121" t="str">
        <f>"AS2070"</f>
        <v>AS2070</v>
      </c>
      <c r="O1121" t="str">
        <f>""</f>
        <v/>
      </c>
      <c r="P1121" t="s">
        <v>1066</v>
      </c>
      <c r="Q1121" t="str">
        <f>"4048488024879"</f>
        <v>4048488024879</v>
      </c>
      <c r="R1121" t="s">
        <v>1535</v>
      </c>
      <c r="S1121" t="s">
        <v>1250</v>
      </c>
      <c r="T1121" s="1" t="s">
        <v>1536</v>
      </c>
      <c r="U1121">
        <v>805</v>
      </c>
      <c r="V1121" t="s">
        <v>1066</v>
      </c>
      <c r="W1121" t="s">
        <v>1069</v>
      </c>
      <c r="X1121" t="s">
        <v>71</v>
      </c>
      <c r="Y1121" t="s">
        <v>1070</v>
      </c>
    </row>
    <row r="1122" spans="1:25">
      <c r="A1122">
        <v>13529</v>
      </c>
      <c r="B1122" t="s">
        <v>25</v>
      </c>
      <c r="C1122" t="str">
        <f t="shared" si="35"/>
        <v>INTEGRA Saloon</v>
      </c>
      <c r="D1122" t="str">
        <f t="shared" si="34"/>
        <v>1.6</v>
      </c>
      <c r="E1122" t="s">
        <v>26</v>
      </c>
      <c r="F1122">
        <v>198501</v>
      </c>
      <c r="G1122">
        <v>199012</v>
      </c>
      <c r="H1122">
        <v>74</v>
      </c>
      <c r="I1122">
        <v>100</v>
      </c>
      <c r="J1122">
        <v>1590</v>
      </c>
      <c r="K1122">
        <v>4693280</v>
      </c>
      <c r="L1122" t="s">
        <v>1534</v>
      </c>
      <c r="M1122" t="str">
        <f>"AS2085"</f>
        <v>AS2085</v>
      </c>
      <c r="N1122" t="str">
        <f>"AS2085"</f>
        <v>AS2085</v>
      </c>
      <c r="O1122" t="str">
        <f>""</f>
        <v/>
      </c>
      <c r="P1122" t="s">
        <v>1066</v>
      </c>
      <c r="Q1122" t="str">
        <f>"4048488026484"</f>
        <v>4048488026484</v>
      </c>
      <c r="R1122" t="s">
        <v>1537</v>
      </c>
      <c r="S1122" t="s">
        <v>1253</v>
      </c>
      <c r="T1122" s="1" t="s">
        <v>1538</v>
      </c>
      <c r="U1122">
        <v>805</v>
      </c>
      <c r="V1122" t="s">
        <v>1066</v>
      </c>
      <c r="W1122" t="s">
        <v>1069</v>
      </c>
      <c r="X1122" t="s">
        <v>71</v>
      </c>
      <c r="Y1122" t="s">
        <v>1070</v>
      </c>
    </row>
    <row r="1123" spans="1:25">
      <c r="A1123">
        <v>13529</v>
      </c>
      <c r="B1123" t="s">
        <v>25</v>
      </c>
      <c r="C1123" t="str">
        <f t="shared" si="35"/>
        <v>INTEGRA Saloon</v>
      </c>
      <c r="D1123" t="str">
        <f t="shared" si="34"/>
        <v>1.6</v>
      </c>
      <c r="E1123" t="s">
        <v>26</v>
      </c>
      <c r="F1123">
        <v>198501</v>
      </c>
      <c r="G1123">
        <v>199012</v>
      </c>
      <c r="H1123">
        <v>74</v>
      </c>
      <c r="I1123">
        <v>100</v>
      </c>
      <c r="J1123">
        <v>1590</v>
      </c>
      <c r="K1123">
        <v>517804</v>
      </c>
      <c r="L1123" t="s">
        <v>1440</v>
      </c>
      <c r="M1123" t="str">
        <f>"LBLS003"</f>
        <v>LBLS003</v>
      </c>
      <c r="N1123" t="str">
        <f>"LBLS003"</f>
        <v>LBLS003</v>
      </c>
      <c r="O1123" t="str">
        <f>""</f>
        <v/>
      </c>
      <c r="P1123" t="s">
        <v>1539</v>
      </c>
      <c r="Q1123" t="str">
        <f>""</f>
        <v/>
      </c>
      <c r="R1123" t="s">
        <v>1540</v>
      </c>
      <c r="T1123" s="1" t="s">
        <v>1541</v>
      </c>
      <c r="U1123">
        <v>806</v>
      </c>
      <c r="V1123" t="s">
        <v>1539</v>
      </c>
      <c r="W1123" t="s">
        <v>1069</v>
      </c>
      <c r="X1123" t="s">
        <v>1542</v>
      </c>
      <c r="Y1123" t="s">
        <v>1543</v>
      </c>
    </row>
    <row r="1124" spans="1:25">
      <c r="A1124">
        <v>13529</v>
      </c>
      <c r="B1124" t="s">
        <v>25</v>
      </c>
      <c r="C1124" t="str">
        <f t="shared" si="35"/>
        <v>INTEGRA Saloon</v>
      </c>
      <c r="D1124" t="str">
        <f t="shared" si="34"/>
        <v>1.6</v>
      </c>
      <c r="E1124" t="s">
        <v>26</v>
      </c>
      <c r="F1124">
        <v>198501</v>
      </c>
      <c r="G1124">
        <v>199012</v>
      </c>
      <c r="H1124">
        <v>74</v>
      </c>
      <c r="I1124">
        <v>100</v>
      </c>
      <c r="J1124">
        <v>1590</v>
      </c>
      <c r="K1124">
        <v>682899</v>
      </c>
      <c r="L1124" t="s">
        <v>1275</v>
      </c>
      <c r="M1124" t="str">
        <f>"1296601500"</f>
        <v>1296601500</v>
      </c>
      <c r="N1124" t="str">
        <f>"1296601500"</f>
        <v>1296601500</v>
      </c>
      <c r="O1124" t="str">
        <f>""</f>
        <v/>
      </c>
      <c r="P1124" t="s">
        <v>1539</v>
      </c>
      <c r="Q1124" t="str">
        <f>"5710412471941"</f>
        <v>5710412471941</v>
      </c>
      <c r="R1124" t="s">
        <v>1544</v>
      </c>
      <c r="S1124" t="s">
        <v>1260</v>
      </c>
      <c r="T1124" s="1" t="s">
        <v>1545</v>
      </c>
      <c r="U1124">
        <v>806</v>
      </c>
      <c r="V1124" t="s">
        <v>1539</v>
      </c>
      <c r="W1124" t="s">
        <v>1069</v>
      </c>
      <c r="X1124" t="s">
        <v>1542</v>
      </c>
      <c r="Y1124" t="s">
        <v>1543</v>
      </c>
    </row>
    <row r="1125" spans="1:25">
      <c r="A1125">
        <v>13529</v>
      </c>
      <c r="B1125" t="s">
        <v>25</v>
      </c>
      <c r="C1125" t="str">
        <f t="shared" si="35"/>
        <v>INTEGRA Saloon</v>
      </c>
      <c r="D1125" t="str">
        <f t="shared" si="34"/>
        <v>1.6</v>
      </c>
      <c r="E1125" t="s">
        <v>26</v>
      </c>
      <c r="F1125">
        <v>198501</v>
      </c>
      <c r="G1125">
        <v>199012</v>
      </c>
      <c r="H1125">
        <v>74</v>
      </c>
      <c r="I1125">
        <v>100</v>
      </c>
      <c r="J1125">
        <v>1590</v>
      </c>
      <c r="K1125">
        <v>1331158</v>
      </c>
      <c r="L1125" t="s">
        <v>1546</v>
      </c>
      <c r="M1125" t="str">
        <f>"5140020"</f>
        <v>5140020</v>
      </c>
      <c r="N1125" t="str">
        <f>"5.140020"</f>
        <v>5.140020</v>
      </c>
      <c r="O1125" t="str">
        <f>""</f>
        <v/>
      </c>
      <c r="P1125" t="s">
        <v>1539</v>
      </c>
      <c r="Q1125" t="str">
        <f>""</f>
        <v/>
      </c>
      <c r="R1125" t="s">
        <v>1547</v>
      </c>
      <c r="T1125" s="1" t="s">
        <v>1548</v>
      </c>
      <c r="U1125">
        <v>806</v>
      </c>
      <c r="V1125" t="s">
        <v>1539</v>
      </c>
      <c r="W1125" t="s">
        <v>1069</v>
      </c>
      <c r="X1125" t="s">
        <v>1542</v>
      </c>
      <c r="Y1125" t="s">
        <v>1543</v>
      </c>
    </row>
    <row r="1126" spans="1:25">
      <c r="A1126">
        <v>13529</v>
      </c>
      <c r="B1126" t="s">
        <v>25</v>
      </c>
      <c r="C1126" t="str">
        <f t="shared" si="35"/>
        <v>INTEGRA Saloon</v>
      </c>
      <c r="D1126" t="str">
        <f t="shared" si="34"/>
        <v>1.6</v>
      </c>
      <c r="E1126" t="s">
        <v>26</v>
      </c>
      <c r="F1126">
        <v>198501</v>
      </c>
      <c r="G1126">
        <v>199012</v>
      </c>
      <c r="H1126">
        <v>74</v>
      </c>
      <c r="I1126">
        <v>100</v>
      </c>
      <c r="J1126">
        <v>1590</v>
      </c>
      <c r="K1126">
        <v>1791846</v>
      </c>
      <c r="L1126" t="s">
        <v>930</v>
      </c>
      <c r="M1126" t="str">
        <f>"XBLS89"</f>
        <v>XBLS89</v>
      </c>
      <c r="N1126" t="str">
        <f>"XBLS89"</f>
        <v>XBLS89</v>
      </c>
      <c r="O1126" t="str">
        <f>""</f>
        <v/>
      </c>
      <c r="P1126" t="s">
        <v>1539</v>
      </c>
      <c r="Q1126" t="str">
        <f>"5022515070670"</f>
        <v>5022515070670</v>
      </c>
      <c r="R1126" t="s">
        <v>1540</v>
      </c>
      <c r="T1126" s="1" t="s">
        <v>1541</v>
      </c>
      <c r="U1126">
        <v>806</v>
      </c>
      <c r="V1126" t="s">
        <v>1539</v>
      </c>
      <c r="W1126" t="s">
        <v>1069</v>
      </c>
      <c r="X1126" t="s">
        <v>1542</v>
      </c>
      <c r="Y1126" t="s">
        <v>1543</v>
      </c>
    </row>
    <row r="1127" spans="1:25">
      <c r="A1127">
        <v>13529</v>
      </c>
      <c r="B1127" t="s">
        <v>25</v>
      </c>
      <c r="C1127" t="str">
        <f t="shared" si="35"/>
        <v>INTEGRA Saloon</v>
      </c>
      <c r="D1127" t="str">
        <f t="shared" si="34"/>
        <v>1.6</v>
      </c>
      <c r="E1127" t="s">
        <v>26</v>
      </c>
      <c r="F1127">
        <v>198501</v>
      </c>
      <c r="G1127">
        <v>199012</v>
      </c>
      <c r="H1127">
        <v>74</v>
      </c>
      <c r="I1127">
        <v>100</v>
      </c>
      <c r="J1127">
        <v>1590</v>
      </c>
      <c r="K1127">
        <v>2592289</v>
      </c>
      <c r="L1127" t="s">
        <v>1453</v>
      </c>
      <c r="M1127" t="str">
        <f>"71044"</f>
        <v>71044</v>
      </c>
      <c r="N1127" t="str">
        <f>"7.1044"</f>
        <v>7.1044</v>
      </c>
      <c r="O1127" t="str">
        <f>"EPS 1.810.044"</f>
        <v>EPS 1.810.044</v>
      </c>
      <c r="P1127" t="s">
        <v>1549</v>
      </c>
      <c r="Q1127" t="str">
        <f>"8012510039427"</f>
        <v>8012510039427</v>
      </c>
      <c r="R1127" t="s">
        <v>1550</v>
      </c>
      <c r="S1127" t="s">
        <v>1260</v>
      </c>
      <c r="T1127" s="1" t="s">
        <v>1551</v>
      </c>
      <c r="U1127">
        <v>806</v>
      </c>
      <c r="V1127" t="s">
        <v>1539</v>
      </c>
      <c r="W1127" t="s">
        <v>1069</v>
      </c>
      <c r="X1127" t="s">
        <v>1542</v>
      </c>
      <c r="Y1127" t="s">
        <v>1543</v>
      </c>
    </row>
    <row r="1128" spans="1:25">
      <c r="A1128">
        <v>13529</v>
      </c>
      <c r="B1128" t="s">
        <v>25</v>
      </c>
      <c r="C1128" t="str">
        <f t="shared" si="35"/>
        <v>INTEGRA Saloon</v>
      </c>
      <c r="D1128" t="str">
        <f t="shared" si="34"/>
        <v>1.6</v>
      </c>
      <c r="E1128" t="s">
        <v>26</v>
      </c>
      <c r="F1128">
        <v>198501</v>
      </c>
      <c r="G1128">
        <v>199012</v>
      </c>
      <c r="H1128">
        <v>74</v>
      </c>
      <c r="I1128">
        <v>100</v>
      </c>
      <c r="J1128">
        <v>1590</v>
      </c>
      <c r="K1128">
        <v>2707025</v>
      </c>
      <c r="L1128" t="s">
        <v>1458</v>
      </c>
      <c r="M1128" t="str">
        <f>"V26730004"</f>
        <v>V26730004</v>
      </c>
      <c r="N1128" t="str">
        <f>"V26-73-0004"</f>
        <v>V26-73-0004</v>
      </c>
      <c r="O1128" t="str">
        <f>""</f>
        <v/>
      </c>
      <c r="P1128" t="s">
        <v>1539</v>
      </c>
      <c r="Q1128" t="str">
        <f>"4046001585166"</f>
        <v>4046001585166</v>
      </c>
      <c r="R1128" t="s">
        <v>1550</v>
      </c>
      <c r="T1128" s="1" t="s">
        <v>1552</v>
      </c>
      <c r="U1128">
        <v>806</v>
      </c>
      <c r="V1128" t="s">
        <v>1539</v>
      </c>
      <c r="W1128" t="s">
        <v>1069</v>
      </c>
      <c r="X1128" t="s">
        <v>1542</v>
      </c>
      <c r="Y1128" t="s">
        <v>1543</v>
      </c>
    </row>
    <row r="1129" spans="1:25">
      <c r="A1129">
        <v>13529</v>
      </c>
      <c r="B1129" t="s">
        <v>25</v>
      </c>
      <c r="C1129" t="str">
        <f t="shared" si="35"/>
        <v>INTEGRA Saloon</v>
      </c>
      <c r="D1129" t="str">
        <f t="shared" si="34"/>
        <v>1.6</v>
      </c>
      <c r="E1129" t="s">
        <v>26</v>
      </c>
      <c r="F1129">
        <v>198501</v>
      </c>
      <c r="G1129">
        <v>199012</v>
      </c>
      <c r="H1129">
        <v>74</v>
      </c>
      <c r="I1129">
        <v>100</v>
      </c>
      <c r="J1129">
        <v>1590</v>
      </c>
      <c r="K1129">
        <v>2899444</v>
      </c>
      <c r="L1129" t="s">
        <v>1520</v>
      </c>
      <c r="M1129" t="str">
        <f>"BS4560"</f>
        <v>BS4560</v>
      </c>
      <c r="N1129" t="str">
        <f>"BS4560"</f>
        <v>BS4560</v>
      </c>
      <c r="O1129" t="str">
        <f>""</f>
        <v/>
      </c>
      <c r="P1129" t="s">
        <v>1539</v>
      </c>
      <c r="Q1129" t="str">
        <f>"3531650014354"</f>
        <v>3531650014354</v>
      </c>
      <c r="R1129" t="s">
        <v>1553</v>
      </c>
      <c r="T1129" s="1" t="s">
        <v>1554</v>
      </c>
      <c r="U1129">
        <v>806</v>
      </c>
      <c r="V1129" t="s">
        <v>1539</v>
      </c>
      <c r="W1129" t="s">
        <v>1069</v>
      </c>
      <c r="X1129" t="s">
        <v>1542</v>
      </c>
      <c r="Y1129" t="s">
        <v>1543</v>
      </c>
    </row>
    <row r="1130" spans="1:25">
      <c r="A1130">
        <v>13529</v>
      </c>
      <c r="B1130" t="s">
        <v>25</v>
      </c>
      <c r="C1130" t="str">
        <f t="shared" si="35"/>
        <v>INTEGRA Saloon</v>
      </c>
      <c r="D1130" t="str">
        <f t="shared" ref="D1130:D1193" si="36">"1.6"</f>
        <v>1.6</v>
      </c>
      <c r="E1130" t="s">
        <v>26</v>
      </c>
      <c r="F1130">
        <v>198501</v>
      </c>
      <c r="G1130">
        <v>199012</v>
      </c>
      <c r="H1130">
        <v>74</v>
      </c>
      <c r="I1130">
        <v>100</v>
      </c>
      <c r="J1130">
        <v>1590</v>
      </c>
      <c r="K1130">
        <v>2948276</v>
      </c>
      <c r="L1130" t="s">
        <v>1463</v>
      </c>
      <c r="M1130" t="str">
        <f>"330701"</f>
        <v>330701</v>
      </c>
      <c r="N1130" t="str">
        <f>"330701"</f>
        <v>330701</v>
      </c>
      <c r="O1130" t="str">
        <f>""</f>
        <v/>
      </c>
      <c r="P1130" t="s">
        <v>1539</v>
      </c>
      <c r="Q1130" t="str">
        <f>""</f>
        <v/>
      </c>
      <c r="R1130" t="s">
        <v>1555</v>
      </c>
      <c r="T1130" s="1" t="s">
        <v>1556</v>
      </c>
      <c r="U1130">
        <v>806</v>
      </c>
      <c r="V1130" t="s">
        <v>1539</v>
      </c>
      <c r="W1130" t="s">
        <v>1069</v>
      </c>
      <c r="X1130" t="s">
        <v>1542</v>
      </c>
      <c r="Y1130" t="s">
        <v>1543</v>
      </c>
    </row>
    <row r="1131" spans="1:25">
      <c r="A1131">
        <v>13529</v>
      </c>
      <c r="B1131" t="s">
        <v>25</v>
      </c>
      <c r="C1131" t="str">
        <f t="shared" si="35"/>
        <v>INTEGRA Saloon</v>
      </c>
      <c r="D1131" t="str">
        <f t="shared" si="36"/>
        <v>1.6</v>
      </c>
      <c r="E1131" t="s">
        <v>26</v>
      </c>
      <c r="F1131">
        <v>198501</v>
      </c>
      <c r="G1131">
        <v>199012</v>
      </c>
      <c r="H1131">
        <v>74</v>
      </c>
      <c r="I1131">
        <v>100</v>
      </c>
      <c r="J1131">
        <v>1590</v>
      </c>
      <c r="K1131">
        <v>2987495</v>
      </c>
      <c r="L1131" t="s">
        <v>1528</v>
      </c>
      <c r="M1131" t="str">
        <f>"24600"</f>
        <v>24600</v>
      </c>
      <c r="N1131" t="str">
        <f>"24600"</f>
        <v>24600</v>
      </c>
      <c r="O1131" t="str">
        <f>""</f>
        <v/>
      </c>
      <c r="P1131" t="s">
        <v>1539</v>
      </c>
      <c r="Q1131" t="str">
        <f>"8435050602478"</f>
        <v>8435050602478</v>
      </c>
      <c r="R1131" t="s">
        <v>1557</v>
      </c>
      <c r="T1131" s="1" t="s">
        <v>1558</v>
      </c>
      <c r="U1131">
        <v>806</v>
      </c>
      <c r="V1131" t="s">
        <v>1539</v>
      </c>
      <c r="W1131" t="s">
        <v>1069</v>
      </c>
      <c r="X1131" t="s">
        <v>1542</v>
      </c>
      <c r="Y1131" t="s">
        <v>1543</v>
      </c>
    </row>
    <row r="1132" spans="1:25">
      <c r="A1132">
        <v>13529</v>
      </c>
      <c r="B1132" t="s">
        <v>25</v>
      </c>
      <c r="C1132" t="str">
        <f t="shared" si="35"/>
        <v>INTEGRA Saloon</v>
      </c>
      <c r="D1132" t="str">
        <f t="shared" si="36"/>
        <v>1.6</v>
      </c>
      <c r="E1132" t="s">
        <v>26</v>
      </c>
      <c r="F1132">
        <v>198501</v>
      </c>
      <c r="G1132">
        <v>199012</v>
      </c>
      <c r="H1132">
        <v>74</v>
      </c>
      <c r="I1132">
        <v>100</v>
      </c>
      <c r="J1132">
        <v>1590</v>
      </c>
      <c r="K1132">
        <v>3000212</v>
      </c>
      <c r="L1132" t="s">
        <v>151</v>
      </c>
      <c r="M1132" t="str">
        <f>"35007"</f>
        <v>35007</v>
      </c>
      <c r="N1132" t="str">
        <f>"35007"</f>
        <v>35007</v>
      </c>
      <c r="O1132" t="str">
        <f>""</f>
        <v/>
      </c>
      <c r="P1132" t="s">
        <v>1539</v>
      </c>
      <c r="Q1132" t="str">
        <f>""</f>
        <v/>
      </c>
      <c r="R1132" t="s">
        <v>1547</v>
      </c>
      <c r="T1132" s="1" t="s">
        <v>1548</v>
      </c>
      <c r="U1132">
        <v>806</v>
      </c>
      <c r="V1132" t="s">
        <v>1539</v>
      </c>
      <c r="W1132" t="s">
        <v>1069</v>
      </c>
      <c r="X1132" t="s">
        <v>1542</v>
      </c>
      <c r="Y1132" t="s">
        <v>1543</v>
      </c>
    </row>
    <row r="1133" spans="1:25">
      <c r="A1133">
        <v>13529</v>
      </c>
      <c r="B1133" t="s">
        <v>25</v>
      </c>
      <c r="C1133" t="str">
        <f t="shared" si="35"/>
        <v>INTEGRA Saloon</v>
      </c>
      <c r="D1133" t="str">
        <f t="shared" si="36"/>
        <v>1.6</v>
      </c>
      <c r="E1133" t="s">
        <v>26</v>
      </c>
      <c r="F1133">
        <v>198501</v>
      </c>
      <c r="G1133">
        <v>199012</v>
      </c>
      <c r="H1133">
        <v>74</v>
      </c>
      <c r="I1133">
        <v>100</v>
      </c>
      <c r="J1133">
        <v>1590</v>
      </c>
      <c r="K1133">
        <v>3182546</v>
      </c>
      <c r="L1133" t="s">
        <v>1440</v>
      </c>
      <c r="M1133" t="str">
        <f>"51316"</f>
        <v>51316</v>
      </c>
      <c r="N1133" t="str">
        <f>"51316"</f>
        <v>51316</v>
      </c>
      <c r="O1133" t="str">
        <f>""</f>
        <v/>
      </c>
      <c r="P1133" t="s">
        <v>1539</v>
      </c>
      <c r="Q1133" t="str">
        <f>"5012225255740"</f>
        <v>5012225255740</v>
      </c>
      <c r="R1133" t="s">
        <v>1540</v>
      </c>
      <c r="T1133" s="1" t="s">
        <v>1541</v>
      </c>
      <c r="U1133">
        <v>806</v>
      </c>
      <c r="V1133" t="s">
        <v>1539</v>
      </c>
      <c r="W1133" t="s">
        <v>1069</v>
      </c>
      <c r="X1133" t="s">
        <v>1542</v>
      </c>
      <c r="Y1133" t="s">
        <v>1543</v>
      </c>
    </row>
    <row r="1134" spans="1:25">
      <c r="A1134">
        <v>13529</v>
      </c>
      <c r="B1134" t="s">
        <v>25</v>
      </c>
      <c r="C1134" t="str">
        <f t="shared" si="35"/>
        <v>INTEGRA Saloon</v>
      </c>
      <c r="D1134" t="str">
        <f t="shared" si="36"/>
        <v>1.6</v>
      </c>
      <c r="E1134" t="s">
        <v>26</v>
      </c>
      <c r="F1134">
        <v>198501</v>
      </c>
      <c r="G1134">
        <v>199012</v>
      </c>
      <c r="H1134">
        <v>74</v>
      </c>
      <c r="I1134">
        <v>100</v>
      </c>
      <c r="J1134">
        <v>1590</v>
      </c>
      <c r="K1134">
        <v>3187069</v>
      </c>
      <c r="L1134" t="s">
        <v>1440</v>
      </c>
      <c r="M1134" t="str">
        <f>"BLS1009"</f>
        <v>BLS1009</v>
      </c>
      <c r="N1134" t="str">
        <f>"BLS1009"</f>
        <v>BLS1009</v>
      </c>
      <c r="O1134" t="str">
        <f>""</f>
        <v/>
      </c>
      <c r="P1134" t="s">
        <v>1539</v>
      </c>
      <c r="Q1134" t="str">
        <f>"5029406151708"</f>
        <v>5029406151708</v>
      </c>
      <c r="R1134" t="s">
        <v>1540</v>
      </c>
      <c r="T1134" s="1" t="s">
        <v>1541</v>
      </c>
      <c r="U1134">
        <v>806</v>
      </c>
      <c r="V1134" t="s">
        <v>1539</v>
      </c>
      <c r="W1134" t="s">
        <v>1069</v>
      </c>
      <c r="X1134" t="s">
        <v>1542</v>
      </c>
      <c r="Y1134" t="s">
        <v>1543</v>
      </c>
    </row>
    <row r="1135" spans="1:25">
      <c r="A1135">
        <v>13529</v>
      </c>
      <c r="B1135" t="s">
        <v>25</v>
      </c>
      <c r="C1135" t="str">
        <f t="shared" si="35"/>
        <v>INTEGRA Saloon</v>
      </c>
      <c r="D1135" t="str">
        <f t="shared" si="36"/>
        <v>1.6</v>
      </c>
      <c r="E1135" t="s">
        <v>26</v>
      </c>
      <c r="F1135">
        <v>198501</v>
      </c>
      <c r="G1135">
        <v>199012</v>
      </c>
      <c r="H1135">
        <v>74</v>
      </c>
      <c r="I1135">
        <v>100</v>
      </c>
      <c r="J1135">
        <v>1590</v>
      </c>
      <c r="K1135">
        <v>3197362</v>
      </c>
      <c r="L1135" t="s">
        <v>1440</v>
      </c>
      <c r="M1135" t="str">
        <f>"SBL058"</f>
        <v>SBL058</v>
      </c>
      <c r="N1135" t="str">
        <f>"SBL058"</f>
        <v>SBL058</v>
      </c>
      <c r="O1135" t="str">
        <f>""</f>
        <v/>
      </c>
      <c r="P1135" t="s">
        <v>1539</v>
      </c>
      <c r="Q1135" t="str">
        <f>"5012225194285"</f>
        <v>5012225194285</v>
      </c>
      <c r="R1135" t="s">
        <v>1540</v>
      </c>
      <c r="T1135" s="1" t="s">
        <v>1541</v>
      </c>
      <c r="U1135">
        <v>806</v>
      </c>
      <c r="V1135" t="s">
        <v>1539</v>
      </c>
      <c r="W1135" t="s">
        <v>1069</v>
      </c>
      <c r="X1135" t="s">
        <v>1542</v>
      </c>
      <c r="Y1135" t="s">
        <v>1543</v>
      </c>
    </row>
    <row r="1136" spans="1:25">
      <c r="A1136">
        <v>13529</v>
      </c>
      <c r="B1136" t="s">
        <v>25</v>
      </c>
      <c r="C1136" t="str">
        <f t="shared" si="35"/>
        <v>INTEGRA Saloon</v>
      </c>
      <c r="D1136" t="str">
        <f t="shared" si="36"/>
        <v>1.6</v>
      </c>
      <c r="E1136" t="s">
        <v>26</v>
      </c>
      <c r="F1136">
        <v>198501</v>
      </c>
      <c r="G1136">
        <v>199012</v>
      </c>
      <c r="H1136">
        <v>74</v>
      </c>
      <c r="I1136">
        <v>100</v>
      </c>
      <c r="J1136">
        <v>1590</v>
      </c>
      <c r="K1136">
        <v>3522578</v>
      </c>
      <c r="L1136" t="s">
        <v>156</v>
      </c>
      <c r="M1136" t="str">
        <f>"3500007"</f>
        <v>3500007</v>
      </c>
      <c r="N1136" t="str">
        <f>"3500007"</f>
        <v>3500007</v>
      </c>
      <c r="O1136" t="str">
        <f>""</f>
        <v/>
      </c>
      <c r="P1136" t="s">
        <v>1539</v>
      </c>
      <c r="Q1136" t="str">
        <f>""</f>
        <v/>
      </c>
      <c r="R1136" t="s">
        <v>1547</v>
      </c>
      <c r="T1136" s="1" t="s">
        <v>1548</v>
      </c>
      <c r="U1136">
        <v>806</v>
      </c>
      <c r="V1136" t="s">
        <v>1539</v>
      </c>
      <c r="W1136" t="s">
        <v>1069</v>
      </c>
      <c r="X1136" t="s">
        <v>1542</v>
      </c>
      <c r="Y1136" t="s">
        <v>1543</v>
      </c>
    </row>
    <row r="1137" spans="1:25">
      <c r="A1137">
        <v>13529</v>
      </c>
      <c r="B1137" t="s">
        <v>25</v>
      </c>
      <c r="C1137" t="str">
        <f t="shared" si="35"/>
        <v>INTEGRA Saloon</v>
      </c>
      <c r="D1137" t="str">
        <f t="shared" si="36"/>
        <v>1.6</v>
      </c>
      <c r="E1137" t="s">
        <v>26</v>
      </c>
      <c r="F1137">
        <v>198501</v>
      </c>
      <c r="G1137">
        <v>199012</v>
      </c>
      <c r="H1137">
        <v>74</v>
      </c>
      <c r="I1137">
        <v>100</v>
      </c>
      <c r="J1137">
        <v>1590</v>
      </c>
      <c r="K1137">
        <v>3944553</v>
      </c>
      <c r="L1137" t="s">
        <v>1559</v>
      </c>
      <c r="M1137" t="str">
        <f>"5140020"</f>
        <v>5140020</v>
      </c>
      <c r="N1137" t="str">
        <f>"5.140020"</f>
        <v>5.140020</v>
      </c>
      <c r="O1137" t="str">
        <f>""</f>
        <v/>
      </c>
      <c r="P1137" t="s">
        <v>1539</v>
      </c>
      <c r="Q1137" t="str">
        <f>""</f>
        <v/>
      </c>
      <c r="R1137" t="s">
        <v>1547</v>
      </c>
      <c r="T1137" s="1" t="s">
        <v>1560</v>
      </c>
      <c r="U1137">
        <v>806</v>
      </c>
      <c r="V1137" t="s">
        <v>1539</v>
      </c>
      <c r="W1137" t="s">
        <v>1069</v>
      </c>
      <c r="X1137" t="s">
        <v>1542</v>
      </c>
      <c r="Y1137" t="s">
        <v>1543</v>
      </c>
    </row>
    <row r="1138" spans="1:25">
      <c r="A1138">
        <v>13529</v>
      </c>
      <c r="B1138" t="s">
        <v>25</v>
      </c>
      <c r="C1138" t="str">
        <f t="shared" si="35"/>
        <v>INTEGRA Saloon</v>
      </c>
      <c r="D1138" t="str">
        <f t="shared" si="36"/>
        <v>1.6</v>
      </c>
      <c r="E1138" t="s">
        <v>26</v>
      </c>
      <c r="F1138">
        <v>198501</v>
      </c>
      <c r="G1138">
        <v>199012</v>
      </c>
      <c r="H1138">
        <v>74</v>
      </c>
      <c r="I1138">
        <v>100</v>
      </c>
      <c r="J1138">
        <v>1590</v>
      </c>
      <c r="K1138">
        <v>2593031</v>
      </c>
      <c r="L1138" t="s">
        <v>1453</v>
      </c>
      <c r="M1138" t="str">
        <f>"76094"</f>
        <v>76094</v>
      </c>
      <c r="N1138" t="str">
        <f>"7.6094"</f>
        <v>7.6094</v>
      </c>
      <c r="O1138" t="str">
        <f>"EPS 1.860.094"</f>
        <v>EPS 1.860.094</v>
      </c>
      <c r="P1138" t="s">
        <v>1561</v>
      </c>
      <c r="Q1138" t="str">
        <f>"8012510045640"</f>
        <v>8012510045640</v>
      </c>
      <c r="S1138" t="s">
        <v>1260</v>
      </c>
      <c r="T1138" s="1" t="s">
        <v>1562</v>
      </c>
      <c r="U1138">
        <v>807</v>
      </c>
      <c r="V1138" t="s">
        <v>1561</v>
      </c>
      <c r="W1138" t="s">
        <v>1069</v>
      </c>
      <c r="X1138" t="s">
        <v>1563</v>
      </c>
      <c r="Y1138" t="s">
        <v>1564</v>
      </c>
    </row>
    <row r="1139" spans="1:25">
      <c r="A1139">
        <v>13529</v>
      </c>
      <c r="B1139" t="s">
        <v>25</v>
      </c>
      <c r="C1139" t="str">
        <f t="shared" si="35"/>
        <v>INTEGRA Saloon</v>
      </c>
      <c r="D1139" t="str">
        <f t="shared" si="36"/>
        <v>1.6</v>
      </c>
      <c r="E1139" t="s">
        <v>26</v>
      </c>
      <c r="F1139">
        <v>198501</v>
      </c>
      <c r="G1139">
        <v>199012</v>
      </c>
      <c r="H1139">
        <v>74</v>
      </c>
      <c r="I1139">
        <v>100</v>
      </c>
      <c r="J1139">
        <v>1590</v>
      </c>
      <c r="K1139">
        <v>2900660</v>
      </c>
      <c r="L1139" t="s">
        <v>1520</v>
      </c>
      <c r="M1139" t="str">
        <f>"RS5537"</f>
        <v>RS5537</v>
      </c>
      <c r="N1139" t="str">
        <f>"RS5537"</f>
        <v>RS5537</v>
      </c>
      <c r="O1139" t="str">
        <f>""</f>
        <v/>
      </c>
      <c r="P1139" t="s">
        <v>1561</v>
      </c>
      <c r="Q1139" t="str">
        <f>"3531650014989"</f>
        <v>3531650014989</v>
      </c>
      <c r="R1139" t="s">
        <v>1565</v>
      </c>
      <c r="T1139" s="1" t="s">
        <v>1566</v>
      </c>
      <c r="U1139">
        <v>807</v>
      </c>
      <c r="V1139" t="s">
        <v>1561</v>
      </c>
      <c r="W1139" t="s">
        <v>1069</v>
      </c>
      <c r="X1139" t="s">
        <v>1563</v>
      </c>
      <c r="Y1139" t="s">
        <v>1564</v>
      </c>
    </row>
    <row r="1140" spans="1:25">
      <c r="A1140">
        <v>13529</v>
      </c>
      <c r="B1140" t="s">
        <v>25</v>
      </c>
      <c r="C1140" t="str">
        <f t="shared" si="35"/>
        <v>INTEGRA Saloon</v>
      </c>
      <c r="D1140" t="str">
        <f t="shared" si="36"/>
        <v>1.6</v>
      </c>
      <c r="E1140" t="s">
        <v>26</v>
      </c>
      <c r="F1140">
        <v>198501</v>
      </c>
      <c r="G1140">
        <v>199012</v>
      </c>
      <c r="H1140">
        <v>74</v>
      </c>
      <c r="I1140">
        <v>100</v>
      </c>
      <c r="J1140">
        <v>1590</v>
      </c>
      <c r="K1140">
        <v>2592489</v>
      </c>
      <c r="L1140" t="s">
        <v>1453</v>
      </c>
      <c r="M1140" t="str">
        <f>"73056"</f>
        <v>73056</v>
      </c>
      <c r="N1140" t="str">
        <f>"7.3056"</f>
        <v>7.3056</v>
      </c>
      <c r="O1140" t="str">
        <f>"EPS 1.830.056"</f>
        <v>EPS 1.830.056</v>
      </c>
      <c r="P1140" t="s">
        <v>1567</v>
      </c>
      <c r="Q1140" t="str">
        <f>"8012510040638"</f>
        <v>8012510040638</v>
      </c>
      <c r="S1140" t="s">
        <v>1260</v>
      </c>
      <c r="T1140" s="1" t="s">
        <v>1568</v>
      </c>
      <c r="U1140">
        <v>830</v>
      </c>
      <c r="V1140" t="s">
        <v>1073</v>
      </c>
      <c r="W1140" t="s">
        <v>1077</v>
      </c>
      <c r="X1140" t="s">
        <v>626</v>
      </c>
      <c r="Y1140" t="s">
        <v>1078</v>
      </c>
    </row>
    <row r="1141" spans="1:25">
      <c r="A1141">
        <v>13529</v>
      </c>
      <c r="B1141" t="s">
        <v>25</v>
      </c>
      <c r="C1141" t="str">
        <f t="shared" si="35"/>
        <v>INTEGRA Saloon</v>
      </c>
      <c r="D1141" t="str">
        <f t="shared" si="36"/>
        <v>1.6</v>
      </c>
      <c r="E1141" t="s">
        <v>26</v>
      </c>
      <c r="F1141">
        <v>198501</v>
      </c>
      <c r="G1141">
        <v>199012</v>
      </c>
      <c r="H1141">
        <v>74</v>
      </c>
      <c r="I1141">
        <v>100</v>
      </c>
      <c r="J1141">
        <v>1590</v>
      </c>
      <c r="K1141">
        <v>2592565</v>
      </c>
      <c r="L1141" t="s">
        <v>1453</v>
      </c>
      <c r="M1141" t="str">
        <f>"73198"</f>
        <v>73198</v>
      </c>
      <c r="N1141" t="str">
        <f>"7.3198"</f>
        <v>7.3198</v>
      </c>
      <c r="O1141" t="str">
        <f>"EPS 1.830.198"</f>
        <v>EPS 1.830.198</v>
      </c>
      <c r="P1141" t="s">
        <v>1569</v>
      </c>
      <c r="Q1141" t="str">
        <f>"8012510070772"</f>
        <v>8012510070772</v>
      </c>
      <c r="S1141" t="s">
        <v>1456</v>
      </c>
      <c r="T1141" s="1" t="s">
        <v>1570</v>
      </c>
      <c r="U1141">
        <v>830</v>
      </c>
      <c r="V1141" t="s">
        <v>1073</v>
      </c>
      <c r="W1141" t="s">
        <v>1077</v>
      </c>
      <c r="X1141" t="s">
        <v>626</v>
      </c>
      <c r="Y1141" t="s">
        <v>1078</v>
      </c>
    </row>
    <row r="1142" spans="1:25">
      <c r="A1142">
        <v>13529</v>
      </c>
      <c r="B1142" t="s">
        <v>25</v>
      </c>
      <c r="C1142" t="str">
        <f t="shared" si="35"/>
        <v>INTEGRA Saloon</v>
      </c>
      <c r="D1142" t="str">
        <f t="shared" si="36"/>
        <v>1.6</v>
      </c>
      <c r="E1142" t="s">
        <v>26</v>
      </c>
      <c r="F1142">
        <v>198501</v>
      </c>
      <c r="G1142">
        <v>199012</v>
      </c>
      <c r="H1142">
        <v>74</v>
      </c>
      <c r="I1142">
        <v>100</v>
      </c>
      <c r="J1142">
        <v>1590</v>
      </c>
      <c r="K1142">
        <v>2706981</v>
      </c>
      <c r="L1142" t="s">
        <v>1458</v>
      </c>
      <c r="M1142" t="str">
        <f>"V26720002"</f>
        <v>V26720002</v>
      </c>
      <c r="N1142" t="str">
        <f>"V26-72-0002"</f>
        <v>V26-72-0002</v>
      </c>
      <c r="O1142" t="str">
        <f>""</f>
        <v/>
      </c>
      <c r="P1142" t="s">
        <v>1567</v>
      </c>
      <c r="Q1142" t="str">
        <f>"4046001370090"</f>
        <v>4046001370090</v>
      </c>
      <c r="S1142" t="s">
        <v>1456</v>
      </c>
      <c r="T1142" s="1" t="s">
        <v>1571</v>
      </c>
      <c r="U1142">
        <v>830</v>
      </c>
      <c r="V1142" t="s">
        <v>1073</v>
      </c>
      <c r="W1142" t="s">
        <v>1077</v>
      </c>
      <c r="X1142" t="s">
        <v>626</v>
      </c>
      <c r="Y1142" t="s">
        <v>1078</v>
      </c>
    </row>
    <row r="1143" spans="1:25">
      <c r="A1143">
        <v>13529</v>
      </c>
      <c r="B1143" t="s">
        <v>25</v>
      </c>
      <c r="C1143" t="str">
        <f t="shared" si="35"/>
        <v>INTEGRA Saloon</v>
      </c>
      <c r="D1143" t="str">
        <f t="shared" si="36"/>
        <v>1.6</v>
      </c>
      <c r="E1143" t="s">
        <v>26</v>
      </c>
      <c r="F1143">
        <v>198501</v>
      </c>
      <c r="G1143">
        <v>199012</v>
      </c>
      <c r="H1143">
        <v>74</v>
      </c>
      <c r="I1143">
        <v>100</v>
      </c>
      <c r="J1143">
        <v>1590</v>
      </c>
      <c r="K1143">
        <v>2710868</v>
      </c>
      <c r="L1143" t="s">
        <v>1458</v>
      </c>
      <c r="M1143" t="str">
        <f>"V53720006"</f>
        <v>V53720006</v>
      </c>
      <c r="N1143" t="str">
        <f>"V53-72-0006"</f>
        <v>V53-72-0006</v>
      </c>
      <c r="O1143" t="str">
        <f>""</f>
        <v/>
      </c>
      <c r="P1143" t="s">
        <v>1073</v>
      </c>
      <c r="Q1143" t="str">
        <f>"4046001433931"</f>
        <v>4046001433931</v>
      </c>
      <c r="S1143" t="s">
        <v>1260</v>
      </c>
      <c r="T1143" s="1" t="s">
        <v>1572</v>
      </c>
      <c r="U1143">
        <v>830</v>
      </c>
      <c r="V1143" t="s">
        <v>1073</v>
      </c>
      <c r="W1143" t="s">
        <v>1077</v>
      </c>
      <c r="X1143" t="s">
        <v>626</v>
      </c>
      <c r="Y1143" t="s">
        <v>1078</v>
      </c>
    </row>
    <row r="1144" spans="1:25">
      <c r="A1144">
        <v>13529</v>
      </c>
      <c r="B1144" t="s">
        <v>25</v>
      </c>
      <c r="C1144" t="str">
        <f t="shared" si="35"/>
        <v>INTEGRA Saloon</v>
      </c>
      <c r="D1144" t="str">
        <f t="shared" si="36"/>
        <v>1.6</v>
      </c>
      <c r="E1144" t="s">
        <v>26</v>
      </c>
      <c r="F1144">
        <v>198501</v>
      </c>
      <c r="G1144">
        <v>199012</v>
      </c>
      <c r="H1144">
        <v>74</v>
      </c>
      <c r="I1144">
        <v>100</v>
      </c>
      <c r="J1144">
        <v>1590</v>
      </c>
      <c r="K1144">
        <v>2902036</v>
      </c>
      <c r="L1144" t="s">
        <v>1520</v>
      </c>
      <c r="M1144" t="str">
        <f>"WS2556"</f>
        <v>WS2556</v>
      </c>
      <c r="N1144" t="str">
        <f>"WS2556"</f>
        <v>WS2556</v>
      </c>
      <c r="O1144" t="str">
        <f>""</f>
        <v/>
      </c>
      <c r="P1144" t="s">
        <v>1073</v>
      </c>
      <c r="Q1144" t="str">
        <f>"3531650011759"</f>
        <v>3531650011759</v>
      </c>
      <c r="R1144" t="s">
        <v>1573</v>
      </c>
      <c r="T1144" s="1" t="s">
        <v>1574</v>
      </c>
      <c r="U1144">
        <v>830</v>
      </c>
      <c r="V1144" t="s">
        <v>1073</v>
      </c>
      <c r="W1144" t="s">
        <v>1077</v>
      </c>
      <c r="X1144" t="s">
        <v>626</v>
      </c>
      <c r="Y1144" t="s">
        <v>1078</v>
      </c>
    </row>
    <row r="1145" spans="1:25">
      <c r="A1145">
        <v>13529</v>
      </c>
      <c r="B1145" t="s">
        <v>25</v>
      </c>
      <c r="C1145" t="str">
        <f t="shared" si="35"/>
        <v>INTEGRA Saloon</v>
      </c>
      <c r="D1145" t="str">
        <f t="shared" si="36"/>
        <v>1.6</v>
      </c>
      <c r="E1145" t="s">
        <v>26</v>
      </c>
      <c r="F1145">
        <v>198501</v>
      </c>
      <c r="G1145">
        <v>199012</v>
      </c>
      <c r="H1145">
        <v>74</v>
      </c>
      <c r="I1145">
        <v>100</v>
      </c>
      <c r="J1145">
        <v>1590</v>
      </c>
      <c r="K1145">
        <v>3407186</v>
      </c>
      <c r="L1145" t="s">
        <v>1575</v>
      </c>
      <c r="M1145" t="str">
        <f>"3135"</f>
        <v>3135</v>
      </c>
      <c r="N1145" t="str">
        <f>"3135"</f>
        <v>3135</v>
      </c>
      <c r="O1145" t="str">
        <f>""</f>
        <v/>
      </c>
      <c r="P1145" t="s">
        <v>1567</v>
      </c>
      <c r="Q1145" t="str">
        <f>""</f>
        <v/>
      </c>
      <c r="S1145" t="s">
        <v>1260</v>
      </c>
      <c r="T1145" s="1" t="s">
        <v>1568</v>
      </c>
      <c r="U1145">
        <v>830</v>
      </c>
      <c r="V1145" t="s">
        <v>1073</v>
      </c>
      <c r="W1145" t="s">
        <v>1077</v>
      </c>
      <c r="X1145" t="s">
        <v>626</v>
      </c>
      <c r="Y1145" t="s">
        <v>1078</v>
      </c>
    </row>
    <row r="1146" spans="1:25">
      <c r="A1146">
        <v>13529</v>
      </c>
      <c r="B1146" t="s">
        <v>25</v>
      </c>
      <c r="C1146" t="str">
        <f t="shared" si="35"/>
        <v>INTEGRA Saloon</v>
      </c>
      <c r="D1146" t="str">
        <f t="shared" si="36"/>
        <v>1.6</v>
      </c>
      <c r="E1146" t="s">
        <v>26</v>
      </c>
      <c r="F1146">
        <v>198501</v>
      </c>
      <c r="G1146">
        <v>199012</v>
      </c>
      <c r="H1146">
        <v>74</v>
      </c>
      <c r="I1146">
        <v>100</v>
      </c>
      <c r="J1146">
        <v>1590</v>
      </c>
      <c r="K1146">
        <v>3717112</v>
      </c>
      <c r="L1146" t="s">
        <v>1488</v>
      </c>
      <c r="M1146" t="str">
        <f>"1567"</f>
        <v>1567</v>
      </c>
      <c r="N1146" t="str">
        <f>"1567"</f>
        <v>1567</v>
      </c>
      <c r="O1146" t="str">
        <f>""</f>
        <v/>
      </c>
      <c r="P1146" t="s">
        <v>1073</v>
      </c>
      <c r="Q1146" t="str">
        <f>"8435120334971"</f>
        <v>8435120334971</v>
      </c>
      <c r="R1146" t="s">
        <v>1576</v>
      </c>
      <c r="T1146" s="1" t="s">
        <v>1577</v>
      </c>
      <c r="U1146">
        <v>830</v>
      </c>
      <c r="V1146" t="s">
        <v>1073</v>
      </c>
      <c r="W1146" t="s">
        <v>1077</v>
      </c>
      <c r="X1146" t="s">
        <v>626</v>
      </c>
      <c r="Y1146" t="s">
        <v>1078</v>
      </c>
    </row>
    <row r="1147" spans="1:25">
      <c r="A1147">
        <v>13529</v>
      </c>
      <c r="B1147" t="s">
        <v>25</v>
      </c>
      <c r="C1147" t="str">
        <f t="shared" si="35"/>
        <v>INTEGRA Saloon</v>
      </c>
      <c r="D1147" t="str">
        <f t="shared" si="36"/>
        <v>1.6</v>
      </c>
      <c r="E1147" t="s">
        <v>26</v>
      </c>
      <c r="F1147">
        <v>198501</v>
      </c>
      <c r="G1147">
        <v>199012</v>
      </c>
      <c r="H1147">
        <v>74</v>
      </c>
      <c r="I1147">
        <v>100</v>
      </c>
      <c r="J1147">
        <v>1590</v>
      </c>
      <c r="K1147">
        <v>3717141</v>
      </c>
      <c r="L1147" t="s">
        <v>1488</v>
      </c>
      <c r="M1147" t="str">
        <f>"1587"</f>
        <v>1587</v>
      </c>
      <c r="N1147" t="str">
        <f>"1587"</f>
        <v>1587</v>
      </c>
      <c r="O1147" t="str">
        <f>""</f>
        <v/>
      </c>
      <c r="P1147" t="s">
        <v>1073</v>
      </c>
      <c r="Q1147" t="str">
        <f>"8435120308422"</f>
        <v>8435120308422</v>
      </c>
      <c r="R1147" t="s">
        <v>1578</v>
      </c>
      <c r="T1147" s="1" t="s">
        <v>1579</v>
      </c>
      <c r="U1147">
        <v>830</v>
      </c>
      <c r="V1147" t="s">
        <v>1073</v>
      </c>
      <c r="W1147" t="s">
        <v>1077</v>
      </c>
      <c r="X1147" t="s">
        <v>626</v>
      </c>
      <c r="Y1147" t="s">
        <v>1078</v>
      </c>
    </row>
    <row r="1148" spans="1:25">
      <c r="A1148">
        <v>13529</v>
      </c>
      <c r="B1148" t="s">
        <v>25</v>
      </c>
      <c r="C1148" t="str">
        <f t="shared" si="35"/>
        <v>INTEGRA Saloon</v>
      </c>
      <c r="D1148" t="str">
        <f t="shared" si="36"/>
        <v>1.6</v>
      </c>
      <c r="E1148" t="s">
        <v>26</v>
      </c>
      <c r="F1148">
        <v>198501</v>
      </c>
      <c r="G1148">
        <v>199012</v>
      </c>
      <c r="H1148">
        <v>74</v>
      </c>
      <c r="I1148">
        <v>100</v>
      </c>
      <c r="J1148">
        <v>1590</v>
      </c>
      <c r="K1148">
        <v>3765075</v>
      </c>
      <c r="L1148" t="s">
        <v>1580</v>
      </c>
      <c r="M1148" t="str">
        <f>"210243"</f>
        <v>210243</v>
      </c>
      <c r="N1148" t="str">
        <f>"21-0243"</f>
        <v>21-0243</v>
      </c>
      <c r="O1148" t="str">
        <f>""</f>
        <v/>
      </c>
      <c r="P1148" t="s">
        <v>1073</v>
      </c>
      <c r="Q1148" t="str">
        <f>""</f>
        <v/>
      </c>
      <c r="S1148" t="s">
        <v>1253</v>
      </c>
      <c r="T1148" t="s">
        <v>1581</v>
      </c>
      <c r="U1148">
        <v>830</v>
      </c>
      <c r="V1148" t="s">
        <v>1073</v>
      </c>
      <c r="W1148" t="s">
        <v>1077</v>
      </c>
      <c r="X1148" t="s">
        <v>626</v>
      </c>
      <c r="Y1148" t="s">
        <v>1078</v>
      </c>
    </row>
    <row r="1149" spans="1:25">
      <c r="A1149">
        <v>13529</v>
      </c>
      <c r="B1149" t="s">
        <v>25</v>
      </c>
      <c r="C1149" t="str">
        <f t="shared" si="35"/>
        <v>INTEGRA Saloon</v>
      </c>
      <c r="D1149" t="str">
        <f t="shared" si="36"/>
        <v>1.6</v>
      </c>
      <c r="E1149" t="s">
        <v>26</v>
      </c>
      <c r="F1149">
        <v>198501</v>
      </c>
      <c r="G1149">
        <v>199012</v>
      </c>
      <c r="H1149">
        <v>74</v>
      </c>
      <c r="I1149">
        <v>100</v>
      </c>
      <c r="J1149">
        <v>1590</v>
      </c>
      <c r="K1149">
        <v>702218</v>
      </c>
      <c r="L1149" t="s">
        <v>1080</v>
      </c>
      <c r="M1149" t="str">
        <f>"333903"</f>
        <v>333903</v>
      </c>
      <c r="N1149" t="str">
        <f>"333903"</f>
        <v>333903</v>
      </c>
      <c r="O1149" t="str">
        <f>""</f>
        <v/>
      </c>
      <c r="P1149" t="s">
        <v>1081</v>
      </c>
      <c r="Q1149" t="str">
        <f>""</f>
        <v/>
      </c>
      <c r="R1149" t="s">
        <v>1082</v>
      </c>
      <c r="S1149" t="s">
        <v>221</v>
      </c>
      <c r="T1149" t="s">
        <v>1083</v>
      </c>
      <c r="U1149">
        <v>854</v>
      </c>
      <c r="V1149" t="s">
        <v>1081</v>
      </c>
      <c r="W1149" t="s">
        <v>1084</v>
      </c>
      <c r="X1149" t="s">
        <v>1085</v>
      </c>
    </row>
    <row r="1150" spans="1:25">
      <c r="A1150">
        <v>13529</v>
      </c>
      <c r="B1150" t="s">
        <v>25</v>
      </c>
      <c r="C1150" t="str">
        <f t="shared" si="35"/>
        <v>INTEGRA Saloon</v>
      </c>
      <c r="D1150" t="str">
        <f t="shared" si="36"/>
        <v>1.6</v>
      </c>
      <c r="E1150" t="s">
        <v>26</v>
      </c>
      <c r="F1150">
        <v>198501</v>
      </c>
      <c r="G1150">
        <v>199012</v>
      </c>
      <c r="H1150">
        <v>74</v>
      </c>
      <c r="I1150">
        <v>100</v>
      </c>
      <c r="J1150">
        <v>1590</v>
      </c>
      <c r="K1150">
        <v>709200</v>
      </c>
      <c r="L1150" t="s">
        <v>1080</v>
      </c>
      <c r="M1150" t="str">
        <f>"103902"</f>
        <v>103902</v>
      </c>
      <c r="N1150" t="str">
        <f>"103902"</f>
        <v>103902</v>
      </c>
      <c r="O1150" t="str">
        <f>""</f>
        <v/>
      </c>
      <c r="P1150" t="s">
        <v>1081</v>
      </c>
      <c r="Q1150" t="str">
        <f>""</f>
        <v/>
      </c>
      <c r="R1150" t="s">
        <v>1086</v>
      </c>
      <c r="S1150" t="s">
        <v>310</v>
      </c>
      <c r="T1150" t="s">
        <v>1087</v>
      </c>
      <c r="U1150">
        <v>854</v>
      </c>
      <c r="V1150" t="s">
        <v>1081</v>
      </c>
      <c r="W1150" t="s">
        <v>1084</v>
      </c>
      <c r="X1150" t="s">
        <v>1085</v>
      </c>
    </row>
    <row r="1151" spans="1:25">
      <c r="A1151">
        <v>13529</v>
      </c>
      <c r="B1151" t="s">
        <v>25</v>
      </c>
      <c r="C1151" t="str">
        <f t="shared" si="35"/>
        <v>INTEGRA Saloon</v>
      </c>
      <c r="D1151" t="str">
        <f t="shared" si="36"/>
        <v>1.6</v>
      </c>
      <c r="E1151" t="s">
        <v>26</v>
      </c>
      <c r="F1151">
        <v>198501</v>
      </c>
      <c r="G1151">
        <v>199012</v>
      </c>
      <c r="H1151">
        <v>74</v>
      </c>
      <c r="I1151">
        <v>100</v>
      </c>
      <c r="J1151">
        <v>1590</v>
      </c>
      <c r="K1151">
        <v>709201</v>
      </c>
      <c r="L1151" t="s">
        <v>1080</v>
      </c>
      <c r="M1151" t="str">
        <f>"103903"</f>
        <v>103903</v>
      </c>
      <c r="N1151" t="str">
        <f>"103903"</f>
        <v>103903</v>
      </c>
      <c r="O1151" t="str">
        <f>""</f>
        <v/>
      </c>
      <c r="P1151" t="s">
        <v>1081</v>
      </c>
      <c r="Q1151" t="str">
        <f>""</f>
        <v/>
      </c>
      <c r="R1151" t="s">
        <v>1088</v>
      </c>
      <c r="S1151" t="s">
        <v>221</v>
      </c>
      <c r="T1151" t="s">
        <v>1089</v>
      </c>
      <c r="U1151">
        <v>854</v>
      </c>
      <c r="V1151" t="s">
        <v>1081</v>
      </c>
      <c r="W1151" t="s">
        <v>1084</v>
      </c>
      <c r="X1151" t="s">
        <v>1085</v>
      </c>
    </row>
    <row r="1152" spans="1:25">
      <c r="A1152">
        <v>13529</v>
      </c>
      <c r="B1152" t="s">
        <v>25</v>
      </c>
      <c r="C1152" t="str">
        <f t="shared" si="35"/>
        <v>INTEGRA Saloon</v>
      </c>
      <c r="D1152" t="str">
        <f t="shared" si="36"/>
        <v>1.6</v>
      </c>
      <c r="E1152" t="s">
        <v>26</v>
      </c>
      <c r="F1152">
        <v>198501</v>
      </c>
      <c r="G1152">
        <v>199012</v>
      </c>
      <c r="H1152">
        <v>74</v>
      </c>
      <c r="I1152">
        <v>100</v>
      </c>
      <c r="J1152">
        <v>1590</v>
      </c>
      <c r="K1152">
        <v>1221342</v>
      </c>
      <c r="L1152" t="s">
        <v>1090</v>
      </c>
      <c r="M1152" t="str">
        <f>"80411200SPORT"</f>
        <v>80411200SPORT</v>
      </c>
      <c r="N1152" t="str">
        <f>"8041-1200SPORT"</f>
        <v>8041-1200SPORT</v>
      </c>
      <c r="O1152" t="str">
        <f>""</f>
        <v/>
      </c>
      <c r="P1152" t="s">
        <v>1081</v>
      </c>
      <c r="Q1152" t="str">
        <f>""</f>
        <v/>
      </c>
      <c r="S1152" t="s">
        <v>1091</v>
      </c>
      <c r="U1152">
        <v>854</v>
      </c>
      <c r="V1152" t="s">
        <v>1081</v>
      </c>
      <c r="W1152" t="s">
        <v>1084</v>
      </c>
      <c r="X1152" t="s">
        <v>1085</v>
      </c>
    </row>
    <row r="1153" spans="1:25">
      <c r="A1153">
        <v>13529</v>
      </c>
      <c r="B1153" t="s">
        <v>25</v>
      </c>
      <c r="C1153" t="str">
        <f t="shared" si="35"/>
        <v>INTEGRA Saloon</v>
      </c>
      <c r="D1153" t="str">
        <f t="shared" si="36"/>
        <v>1.6</v>
      </c>
      <c r="E1153" t="s">
        <v>26</v>
      </c>
      <c r="F1153">
        <v>198501</v>
      </c>
      <c r="G1153">
        <v>199012</v>
      </c>
      <c r="H1153">
        <v>74</v>
      </c>
      <c r="I1153">
        <v>100</v>
      </c>
      <c r="J1153">
        <v>1590</v>
      </c>
      <c r="K1153">
        <v>1221343</v>
      </c>
      <c r="L1153" t="s">
        <v>1090</v>
      </c>
      <c r="M1153" t="str">
        <f>"80411201SPORT"</f>
        <v>80411201SPORT</v>
      </c>
      <c r="N1153" t="str">
        <f>"8041-1201SPORT"</f>
        <v>8041-1201SPORT</v>
      </c>
      <c r="O1153" t="str">
        <f>""</f>
        <v/>
      </c>
      <c r="P1153" t="s">
        <v>1081</v>
      </c>
      <c r="Q1153" t="str">
        <f>""</f>
        <v/>
      </c>
      <c r="S1153" t="s">
        <v>1092</v>
      </c>
      <c r="U1153">
        <v>854</v>
      </c>
      <c r="V1153" t="s">
        <v>1081</v>
      </c>
      <c r="W1153" t="s">
        <v>1084</v>
      </c>
      <c r="X1153" t="s">
        <v>1085</v>
      </c>
    </row>
    <row r="1154" spans="1:25">
      <c r="A1154">
        <v>13529</v>
      </c>
      <c r="B1154" t="s">
        <v>25</v>
      </c>
      <c r="C1154" t="str">
        <f t="shared" ref="C1154:C1217" si="37">"INTEGRA Saloon"</f>
        <v>INTEGRA Saloon</v>
      </c>
      <c r="D1154" t="str">
        <f t="shared" si="36"/>
        <v>1.6</v>
      </c>
      <c r="E1154" t="s">
        <v>26</v>
      </c>
      <c r="F1154">
        <v>198501</v>
      </c>
      <c r="G1154">
        <v>199012</v>
      </c>
      <c r="H1154">
        <v>74</v>
      </c>
      <c r="I1154">
        <v>100</v>
      </c>
      <c r="J1154">
        <v>1590</v>
      </c>
      <c r="K1154">
        <v>1610141</v>
      </c>
      <c r="L1154" t="s">
        <v>1093</v>
      </c>
      <c r="M1154" t="str">
        <f>"11072"</f>
        <v>11072</v>
      </c>
      <c r="N1154" t="str">
        <f>"11072"</f>
        <v>11072</v>
      </c>
      <c r="O1154" t="str">
        <f>""</f>
        <v/>
      </c>
      <c r="P1154" t="s">
        <v>1081</v>
      </c>
      <c r="Q1154" t="str">
        <f>"5412096053474"</f>
        <v>5412096053474</v>
      </c>
      <c r="R1154" t="s">
        <v>1094</v>
      </c>
      <c r="S1154" t="s">
        <v>1095</v>
      </c>
      <c r="T1154" s="1" t="s">
        <v>1096</v>
      </c>
      <c r="U1154">
        <v>854</v>
      </c>
      <c r="V1154" t="s">
        <v>1081</v>
      </c>
      <c r="W1154" t="s">
        <v>1084</v>
      </c>
      <c r="X1154" t="s">
        <v>1085</v>
      </c>
    </row>
    <row r="1155" spans="1:25">
      <c r="A1155">
        <v>13529</v>
      </c>
      <c r="B1155" t="s">
        <v>25</v>
      </c>
      <c r="C1155" t="str">
        <f t="shared" si="37"/>
        <v>INTEGRA Saloon</v>
      </c>
      <c r="D1155" t="str">
        <f t="shared" si="36"/>
        <v>1.6</v>
      </c>
      <c r="E1155" t="s">
        <v>26</v>
      </c>
      <c r="F1155">
        <v>198501</v>
      </c>
      <c r="G1155">
        <v>199012</v>
      </c>
      <c r="H1155">
        <v>74</v>
      </c>
      <c r="I1155">
        <v>100</v>
      </c>
      <c r="J1155">
        <v>1590</v>
      </c>
      <c r="K1155">
        <v>1623484</v>
      </c>
      <c r="L1155" t="s">
        <v>1093</v>
      </c>
      <c r="M1155" t="str">
        <f>"R3729"</f>
        <v>R3729</v>
      </c>
      <c r="N1155" t="str">
        <f>"R3729"</f>
        <v>R3729</v>
      </c>
      <c r="O1155" t="str">
        <f>""</f>
        <v/>
      </c>
      <c r="P1155" t="s">
        <v>1081</v>
      </c>
      <c r="Q1155" t="str">
        <f>"5412096135293"</f>
        <v>5412096135293</v>
      </c>
      <c r="R1155" t="s">
        <v>1097</v>
      </c>
      <c r="S1155" t="s">
        <v>675</v>
      </c>
      <c r="T1155" s="1" t="s">
        <v>1098</v>
      </c>
      <c r="U1155">
        <v>854</v>
      </c>
      <c r="V1155" t="s">
        <v>1081</v>
      </c>
      <c r="W1155" t="s">
        <v>1084</v>
      </c>
      <c r="X1155" t="s">
        <v>1085</v>
      </c>
    </row>
    <row r="1156" spans="1:25">
      <c r="A1156">
        <v>13529</v>
      </c>
      <c r="B1156" t="s">
        <v>25</v>
      </c>
      <c r="C1156" t="str">
        <f t="shared" si="37"/>
        <v>INTEGRA Saloon</v>
      </c>
      <c r="D1156" t="str">
        <f t="shared" si="36"/>
        <v>1.6</v>
      </c>
      <c r="E1156" t="s">
        <v>26</v>
      </c>
      <c r="F1156">
        <v>198501</v>
      </c>
      <c r="G1156">
        <v>199012</v>
      </c>
      <c r="H1156">
        <v>74</v>
      </c>
      <c r="I1156">
        <v>100</v>
      </c>
      <c r="J1156">
        <v>1590</v>
      </c>
      <c r="K1156">
        <v>1610053</v>
      </c>
      <c r="L1156" t="s">
        <v>1099</v>
      </c>
      <c r="M1156" t="str">
        <f>"9901149"</f>
        <v>9901149</v>
      </c>
      <c r="N1156" t="str">
        <f>"9901149"</f>
        <v>9901149</v>
      </c>
      <c r="O1156" t="str">
        <f>"111590"</f>
        <v>111590</v>
      </c>
      <c r="P1156" t="s">
        <v>1100</v>
      </c>
      <c r="Q1156" t="str">
        <f>"5410909419929"</f>
        <v>5410909419929</v>
      </c>
      <c r="R1156" s="1" t="s">
        <v>1582</v>
      </c>
      <c r="T1156" t="s">
        <v>1102</v>
      </c>
      <c r="U1156">
        <v>901</v>
      </c>
      <c r="V1156" t="s">
        <v>1103</v>
      </c>
      <c r="W1156" t="s">
        <v>1104</v>
      </c>
      <c r="X1156" t="s">
        <v>486</v>
      </c>
    </row>
    <row r="1157" spans="1:25">
      <c r="A1157">
        <v>13529</v>
      </c>
      <c r="B1157" t="s">
        <v>25</v>
      </c>
      <c r="C1157" t="str">
        <f t="shared" si="37"/>
        <v>INTEGRA Saloon</v>
      </c>
      <c r="D1157" t="str">
        <f t="shared" si="36"/>
        <v>1.6</v>
      </c>
      <c r="E1157" t="s">
        <v>26</v>
      </c>
      <c r="F1157">
        <v>198501</v>
      </c>
      <c r="G1157">
        <v>199012</v>
      </c>
      <c r="H1157">
        <v>74</v>
      </c>
      <c r="I1157">
        <v>100</v>
      </c>
      <c r="J1157">
        <v>1590</v>
      </c>
      <c r="K1157">
        <v>2622064</v>
      </c>
      <c r="L1157" t="s">
        <v>377</v>
      </c>
      <c r="M1157" t="str">
        <f>"JTE224"</f>
        <v>JTE224</v>
      </c>
      <c r="N1157" t="str">
        <f>"JTE224"</f>
        <v>JTE224</v>
      </c>
      <c r="O1157" t="str">
        <f>""</f>
        <v/>
      </c>
      <c r="P1157" t="s">
        <v>1105</v>
      </c>
      <c r="Q1157" t="str">
        <f>"3322937905812"</f>
        <v>3322937905812</v>
      </c>
      <c r="R1157" t="s">
        <v>1106</v>
      </c>
      <c r="S1157" t="s">
        <v>1107</v>
      </c>
      <c r="T1157" s="1" t="s">
        <v>1108</v>
      </c>
      <c r="U1157">
        <v>914</v>
      </c>
      <c r="V1157" t="s">
        <v>1105</v>
      </c>
      <c r="W1157" t="s">
        <v>210</v>
      </c>
      <c r="X1157" t="s">
        <v>211</v>
      </c>
      <c r="Y1157" t="s">
        <v>1105</v>
      </c>
    </row>
    <row r="1158" spans="1:25">
      <c r="A1158">
        <v>13529</v>
      </c>
      <c r="B1158" t="s">
        <v>25</v>
      </c>
      <c r="C1158" t="str">
        <f t="shared" si="37"/>
        <v>INTEGRA Saloon</v>
      </c>
      <c r="D1158" t="str">
        <f t="shared" si="36"/>
        <v>1.6</v>
      </c>
      <c r="E1158" t="s">
        <v>26</v>
      </c>
      <c r="F1158">
        <v>198501</v>
      </c>
      <c r="G1158">
        <v>199012</v>
      </c>
      <c r="H1158">
        <v>74</v>
      </c>
      <c r="I1158">
        <v>100</v>
      </c>
      <c r="J1158">
        <v>1590</v>
      </c>
      <c r="K1158">
        <v>3032093</v>
      </c>
      <c r="L1158" t="s">
        <v>33</v>
      </c>
      <c r="M1158" t="str">
        <f>"J4824000"</f>
        <v>J4824000</v>
      </c>
      <c r="N1158" t="str">
        <f>"J4824000"</f>
        <v>J4824000</v>
      </c>
      <c r="O1158" t="str">
        <f>""</f>
        <v/>
      </c>
      <c r="P1158" t="s">
        <v>1105</v>
      </c>
      <c r="Q1158" t="str">
        <f>"8711768064266"</f>
        <v>8711768064266</v>
      </c>
      <c r="R1158" t="s">
        <v>1109</v>
      </c>
      <c r="S1158" t="s">
        <v>1110</v>
      </c>
      <c r="T1158" s="1" t="s">
        <v>1111</v>
      </c>
      <c r="U1158">
        <v>914</v>
      </c>
      <c r="V1158" t="s">
        <v>1105</v>
      </c>
      <c r="W1158" t="s">
        <v>210</v>
      </c>
      <c r="X1158" t="s">
        <v>211</v>
      </c>
      <c r="Y1158" t="s">
        <v>1105</v>
      </c>
    </row>
    <row r="1159" spans="1:25">
      <c r="A1159">
        <v>13529</v>
      </c>
      <c r="B1159" t="s">
        <v>25</v>
      </c>
      <c r="C1159" t="str">
        <f t="shared" si="37"/>
        <v>INTEGRA Saloon</v>
      </c>
      <c r="D1159" t="str">
        <f t="shared" si="36"/>
        <v>1.6</v>
      </c>
      <c r="E1159" t="s">
        <v>26</v>
      </c>
      <c r="F1159">
        <v>198501</v>
      </c>
      <c r="G1159">
        <v>199012</v>
      </c>
      <c r="H1159">
        <v>74</v>
      </c>
      <c r="I1159">
        <v>100</v>
      </c>
      <c r="J1159">
        <v>1590</v>
      </c>
      <c r="K1159">
        <v>3800739</v>
      </c>
      <c r="L1159" t="s">
        <v>1112</v>
      </c>
      <c r="M1159" t="str">
        <f>"FTR4078"</f>
        <v>FTR4078</v>
      </c>
      <c r="N1159" t="str">
        <f>"FTR4078"</f>
        <v>FTR4078</v>
      </c>
      <c r="O1159" t="str">
        <f>""</f>
        <v/>
      </c>
      <c r="P1159" t="s">
        <v>1105</v>
      </c>
      <c r="Q1159" t="str">
        <f>""</f>
        <v/>
      </c>
      <c r="R1159" t="s">
        <v>1113</v>
      </c>
      <c r="S1159" t="s">
        <v>1114</v>
      </c>
      <c r="T1159" s="1" t="s">
        <v>1115</v>
      </c>
      <c r="U1159">
        <v>914</v>
      </c>
      <c r="V1159" t="s">
        <v>1105</v>
      </c>
      <c r="W1159" t="s">
        <v>210</v>
      </c>
      <c r="X1159" t="s">
        <v>211</v>
      </c>
      <c r="Y1159" t="s">
        <v>1105</v>
      </c>
    </row>
    <row r="1160" spans="1:25">
      <c r="A1160">
        <v>13529</v>
      </c>
      <c r="B1160" t="s">
        <v>25</v>
      </c>
      <c r="C1160" t="str">
        <f t="shared" si="37"/>
        <v>INTEGRA Saloon</v>
      </c>
      <c r="D1160" t="str">
        <f t="shared" si="36"/>
        <v>1.6</v>
      </c>
      <c r="E1160" t="s">
        <v>26</v>
      </c>
      <c r="F1160">
        <v>198501</v>
      </c>
      <c r="G1160">
        <v>199012</v>
      </c>
      <c r="H1160">
        <v>74</v>
      </c>
      <c r="I1160">
        <v>100</v>
      </c>
      <c r="J1160">
        <v>1590</v>
      </c>
      <c r="K1160">
        <v>3964792</v>
      </c>
      <c r="L1160" t="s">
        <v>27</v>
      </c>
      <c r="M1160" t="str">
        <f>"H58915"</f>
        <v>H58915</v>
      </c>
      <c r="N1160" t="str">
        <f>"H589-15"</f>
        <v>H589-15</v>
      </c>
      <c r="O1160" t="str">
        <f>""</f>
        <v/>
      </c>
      <c r="P1160" t="s">
        <v>1105</v>
      </c>
      <c r="Q1160" t="str">
        <f>"8718993219737"</f>
        <v>8718993219737</v>
      </c>
      <c r="R1160" t="s">
        <v>1116</v>
      </c>
      <c r="S1160" t="s">
        <v>1117</v>
      </c>
      <c r="T1160" s="1" t="s">
        <v>1118</v>
      </c>
      <c r="U1160">
        <v>914</v>
      </c>
      <c r="V1160" t="s">
        <v>1105</v>
      </c>
      <c r="W1160" t="s">
        <v>210</v>
      </c>
      <c r="X1160" t="s">
        <v>211</v>
      </c>
      <c r="Y1160" t="s">
        <v>1105</v>
      </c>
    </row>
    <row r="1161" spans="1:25">
      <c r="A1161">
        <v>13529</v>
      </c>
      <c r="B1161" t="s">
        <v>25</v>
      </c>
      <c r="C1161" t="str">
        <f t="shared" si="37"/>
        <v>INTEGRA Saloon</v>
      </c>
      <c r="D1161" t="str">
        <f t="shared" si="36"/>
        <v>1.6</v>
      </c>
      <c r="E1161" t="s">
        <v>26</v>
      </c>
      <c r="F1161">
        <v>198501</v>
      </c>
      <c r="G1161">
        <v>199012</v>
      </c>
      <c r="H1161">
        <v>74</v>
      </c>
      <c r="I1161">
        <v>100</v>
      </c>
      <c r="J1161">
        <v>1590</v>
      </c>
      <c r="K1161">
        <v>4117175</v>
      </c>
      <c r="L1161" t="s">
        <v>1119</v>
      </c>
      <c r="M1161" t="str">
        <f>"BTR4078"</f>
        <v>BTR4078</v>
      </c>
      <c r="N1161" t="str">
        <f>"BTR4078"</f>
        <v>BTR4078</v>
      </c>
      <c r="O1161" t="str">
        <f>""</f>
        <v/>
      </c>
      <c r="P1161" t="s">
        <v>1105</v>
      </c>
      <c r="Q1161" t="str">
        <f>""</f>
        <v/>
      </c>
      <c r="R1161" t="s">
        <v>1113</v>
      </c>
      <c r="S1161" t="s">
        <v>1114</v>
      </c>
      <c r="T1161" s="1" t="s">
        <v>1115</v>
      </c>
      <c r="U1161">
        <v>914</v>
      </c>
      <c r="V1161" t="s">
        <v>1105</v>
      </c>
      <c r="W1161" t="s">
        <v>210</v>
      </c>
      <c r="X1161" t="s">
        <v>211</v>
      </c>
      <c r="Y1161" t="s">
        <v>1105</v>
      </c>
    </row>
    <row r="1162" spans="1:25">
      <c r="A1162">
        <v>13529</v>
      </c>
      <c r="B1162" t="s">
        <v>25</v>
      </c>
      <c r="C1162" t="str">
        <f t="shared" si="37"/>
        <v>INTEGRA Saloon</v>
      </c>
      <c r="D1162" t="str">
        <f t="shared" si="36"/>
        <v>1.6</v>
      </c>
      <c r="E1162" t="s">
        <v>26</v>
      </c>
      <c r="F1162">
        <v>198501</v>
      </c>
      <c r="G1162">
        <v>199012</v>
      </c>
      <c r="H1162">
        <v>74</v>
      </c>
      <c r="I1162">
        <v>100</v>
      </c>
      <c r="J1162">
        <v>1590</v>
      </c>
      <c r="K1162">
        <v>4193922</v>
      </c>
      <c r="L1162" t="s">
        <v>314</v>
      </c>
      <c r="M1162" t="str">
        <f>"22012"</f>
        <v>22012</v>
      </c>
      <c r="N1162" t="str">
        <f>"22012"</f>
        <v>22012</v>
      </c>
      <c r="O1162" t="str">
        <f>""</f>
        <v/>
      </c>
      <c r="P1162" t="s">
        <v>1105</v>
      </c>
      <c r="Q1162" t="str">
        <f>""</f>
        <v/>
      </c>
      <c r="R1162" t="s">
        <v>1120</v>
      </c>
      <c r="S1162" t="s">
        <v>1107</v>
      </c>
      <c r="T1162" t="s">
        <v>1121</v>
      </c>
      <c r="U1162">
        <v>914</v>
      </c>
      <c r="V1162" t="s">
        <v>1105</v>
      </c>
      <c r="W1162" t="s">
        <v>210</v>
      </c>
      <c r="X1162" t="s">
        <v>211</v>
      </c>
      <c r="Y1162" t="s">
        <v>1105</v>
      </c>
    </row>
    <row r="1163" spans="1:25">
      <c r="A1163">
        <v>13529</v>
      </c>
      <c r="B1163" t="s">
        <v>25</v>
      </c>
      <c r="C1163" t="str">
        <f t="shared" si="37"/>
        <v>INTEGRA Saloon</v>
      </c>
      <c r="D1163" t="str">
        <f t="shared" si="36"/>
        <v>1.6</v>
      </c>
      <c r="E1163" t="s">
        <v>26</v>
      </c>
      <c r="F1163">
        <v>198501</v>
      </c>
      <c r="G1163">
        <v>199012</v>
      </c>
      <c r="H1163">
        <v>74</v>
      </c>
      <c r="I1163">
        <v>100</v>
      </c>
      <c r="J1163">
        <v>1590</v>
      </c>
      <c r="K1163">
        <v>2898527</v>
      </c>
      <c r="L1163" t="s">
        <v>1461</v>
      </c>
      <c r="M1163" t="str">
        <f>"160926"</f>
        <v>160926</v>
      </c>
      <c r="N1163" t="str">
        <f>"160926"</f>
        <v>160926</v>
      </c>
      <c r="O1163" t="str">
        <f>""</f>
        <v/>
      </c>
      <c r="P1163" t="s">
        <v>1583</v>
      </c>
      <c r="Q1163" t="str">
        <f>""</f>
        <v/>
      </c>
      <c r="R1163" t="s">
        <v>1584</v>
      </c>
      <c r="T1163" s="1" t="s">
        <v>1585</v>
      </c>
      <c r="U1163">
        <v>932</v>
      </c>
      <c r="V1163" t="s">
        <v>1583</v>
      </c>
      <c r="W1163" t="s">
        <v>1586</v>
      </c>
      <c r="X1163" t="s">
        <v>1025</v>
      </c>
    </row>
    <row r="1164" spans="1:25">
      <c r="A1164">
        <v>13529</v>
      </c>
      <c r="B1164" t="s">
        <v>25</v>
      </c>
      <c r="C1164" t="str">
        <f t="shared" si="37"/>
        <v>INTEGRA Saloon</v>
      </c>
      <c r="D1164" t="str">
        <f t="shared" si="36"/>
        <v>1.6</v>
      </c>
      <c r="E1164" t="s">
        <v>26</v>
      </c>
      <c r="F1164">
        <v>198501</v>
      </c>
      <c r="G1164">
        <v>199012</v>
      </c>
      <c r="H1164">
        <v>74</v>
      </c>
      <c r="I1164">
        <v>100</v>
      </c>
      <c r="J1164">
        <v>1590</v>
      </c>
      <c r="K1164">
        <v>3964034</v>
      </c>
      <c r="L1164" t="s">
        <v>27</v>
      </c>
      <c r="M1164" t="str">
        <f>"H14409"</f>
        <v>H14409</v>
      </c>
      <c r="N1164" t="str">
        <f>"H144-09"</f>
        <v>H144-09</v>
      </c>
      <c r="O1164" t="str">
        <f>""</f>
        <v/>
      </c>
      <c r="P1164" t="s">
        <v>1583</v>
      </c>
      <c r="Q1164" t="str">
        <f>"8718993211519"</f>
        <v>8718993211519</v>
      </c>
      <c r="T1164" t="s">
        <v>1587</v>
      </c>
      <c r="U1164">
        <v>932</v>
      </c>
      <c r="V1164" t="s">
        <v>1583</v>
      </c>
      <c r="W1164" t="s">
        <v>1586</v>
      </c>
      <c r="X1164" t="s">
        <v>1025</v>
      </c>
    </row>
    <row r="1165" spans="1:25">
      <c r="A1165">
        <v>13529</v>
      </c>
      <c r="B1165" t="s">
        <v>25</v>
      </c>
      <c r="C1165" t="str">
        <f t="shared" si="37"/>
        <v>INTEGRA Saloon</v>
      </c>
      <c r="D1165" t="str">
        <f t="shared" si="36"/>
        <v>1.6</v>
      </c>
      <c r="E1165" t="s">
        <v>26</v>
      </c>
      <c r="F1165">
        <v>198501</v>
      </c>
      <c r="G1165">
        <v>199012</v>
      </c>
      <c r="H1165">
        <v>74</v>
      </c>
      <c r="I1165">
        <v>100</v>
      </c>
      <c r="J1165">
        <v>1590</v>
      </c>
      <c r="K1165">
        <v>4130912</v>
      </c>
      <c r="L1165" t="s">
        <v>1291</v>
      </c>
      <c r="M1165" t="str">
        <f>"RK6304"</f>
        <v>RK6304</v>
      </c>
      <c r="N1165" t="str">
        <f>"RK6304"</f>
        <v>RK6304</v>
      </c>
      <c r="O1165" t="str">
        <f>""</f>
        <v/>
      </c>
      <c r="P1165" t="s">
        <v>1588</v>
      </c>
      <c r="Q1165" t="str">
        <f>""</f>
        <v/>
      </c>
      <c r="S1165" t="s">
        <v>1293</v>
      </c>
      <c r="T1165" t="s">
        <v>1589</v>
      </c>
      <c r="U1165">
        <v>979</v>
      </c>
      <c r="V1165" t="s">
        <v>1588</v>
      </c>
      <c r="W1165" t="s">
        <v>649</v>
      </c>
      <c r="X1165" t="s">
        <v>641</v>
      </c>
      <c r="Y1165" t="s">
        <v>656</v>
      </c>
    </row>
    <row r="1166" spans="1:25">
      <c r="A1166">
        <v>13529</v>
      </c>
      <c r="B1166" t="s">
        <v>25</v>
      </c>
      <c r="C1166" t="str">
        <f t="shared" si="37"/>
        <v>INTEGRA Saloon</v>
      </c>
      <c r="D1166" t="str">
        <f t="shared" si="36"/>
        <v>1.6</v>
      </c>
      <c r="E1166" t="s">
        <v>26</v>
      </c>
      <c r="F1166">
        <v>198501</v>
      </c>
      <c r="G1166">
        <v>199012</v>
      </c>
      <c r="H1166">
        <v>74</v>
      </c>
      <c r="I1166">
        <v>100</v>
      </c>
      <c r="J1166">
        <v>1590</v>
      </c>
      <c r="K1166">
        <v>2231018</v>
      </c>
      <c r="L1166" t="s">
        <v>181</v>
      </c>
      <c r="M1166" t="str">
        <f>"862569092"</f>
        <v>862569092</v>
      </c>
      <c r="N1166" t="str">
        <f>"8625 69092"</f>
        <v>8625 69092</v>
      </c>
      <c r="O1166" t="str">
        <f>""</f>
        <v/>
      </c>
      <c r="P1166" t="s">
        <v>1122</v>
      </c>
      <c r="Q1166" t="str">
        <f>"5709147077535"</f>
        <v>5709147077535</v>
      </c>
      <c r="R1166" t="s">
        <v>1590</v>
      </c>
      <c r="S1166" t="s">
        <v>1260</v>
      </c>
      <c r="T1166" s="1" t="s">
        <v>1591</v>
      </c>
      <c r="U1166">
        <v>1103</v>
      </c>
      <c r="V1166" t="s">
        <v>1122</v>
      </c>
      <c r="W1166" t="s">
        <v>1069</v>
      </c>
      <c r="X1166" t="s">
        <v>626</v>
      </c>
      <c r="Y1166" t="s">
        <v>950</v>
      </c>
    </row>
    <row r="1167" spans="1:25">
      <c r="A1167">
        <v>13529</v>
      </c>
      <c r="B1167" t="s">
        <v>25</v>
      </c>
      <c r="C1167" t="str">
        <f t="shared" si="37"/>
        <v>INTEGRA Saloon</v>
      </c>
      <c r="D1167" t="str">
        <f t="shared" si="36"/>
        <v>1.6</v>
      </c>
      <c r="E1167" t="s">
        <v>26</v>
      </c>
      <c r="F1167">
        <v>198501</v>
      </c>
      <c r="G1167">
        <v>199012</v>
      </c>
      <c r="H1167">
        <v>74</v>
      </c>
      <c r="I1167">
        <v>100</v>
      </c>
      <c r="J1167">
        <v>1590</v>
      </c>
      <c r="K1167">
        <v>2592781</v>
      </c>
      <c r="L1167" t="s">
        <v>1453</v>
      </c>
      <c r="M1167" t="str">
        <f>"75036"</f>
        <v>75036</v>
      </c>
      <c r="N1167" t="str">
        <f>"7.5036"</f>
        <v>7.5036</v>
      </c>
      <c r="O1167" t="str">
        <f>"EPS 1.850.036"</f>
        <v>EPS 1.850.036</v>
      </c>
      <c r="P1167" t="s">
        <v>1122</v>
      </c>
      <c r="Q1167" t="str">
        <f>"8012510042946"</f>
        <v>8012510042946</v>
      </c>
      <c r="S1167" t="s">
        <v>1260</v>
      </c>
      <c r="T1167" s="1" t="s">
        <v>1592</v>
      </c>
      <c r="U1167">
        <v>1103</v>
      </c>
      <c r="V1167" t="s">
        <v>1122</v>
      </c>
      <c r="W1167" t="s">
        <v>1069</v>
      </c>
      <c r="X1167" t="s">
        <v>626</v>
      </c>
      <c r="Y1167" t="s">
        <v>950</v>
      </c>
    </row>
    <row r="1168" spans="1:25">
      <c r="A1168">
        <v>13529</v>
      </c>
      <c r="B1168" t="s">
        <v>25</v>
      </c>
      <c r="C1168" t="str">
        <f t="shared" si="37"/>
        <v>INTEGRA Saloon</v>
      </c>
      <c r="D1168" t="str">
        <f t="shared" si="36"/>
        <v>1.6</v>
      </c>
      <c r="E1168" t="s">
        <v>26</v>
      </c>
      <c r="F1168">
        <v>198501</v>
      </c>
      <c r="G1168">
        <v>199012</v>
      </c>
      <c r="H1168">
        <v>74</v>
      </c>
      <c r="I1168">
        <v>100</v>
      </c>
      <c r="J1168">
        <v>1590</v>
      </c>
      <c r="K1168">
        <v>2707056</v>
      </c>
      <c r="L1168" t="s">
        <v>1458</v>
      </c>
      <c r="M1168" t="str">
        <f>"V26990014"</f>
        <v>V26990014</v>
      </c>
      <c r="N1168" t="str">
        <f>"V26-99-0014"</f>
        <v>V26-99-0014</v>
      </c>
      <c r="O1168" t="str">
        <f>""</f>
        <v/>
      </c>
      <c r="P1168" t="s">
        <v>1122</v>
      </c>
      <c r="Q1168" t="str">
        <f>"4046001563508"</f>
        <v>4046001563508</v>
      </c>
      <c r="S1168" t="s">
        <v>1260</v>
      </c>
      <c r="T1168" s="1" t="s">
        <v>1593</v>
      </c>
      <c r="U1168">
        <v>1103</v>
      </c>
      <c r="V1168" t="s">
        <v>1122</v>
      </c>
      <c r="W1168" t="s">
        <v>1069</v>
      </c>
      <c r="X1168" t="s">
        <v>626</v>
      </c>
      <c r="Y1168" t="s">
        <v>950</v>
      </c>
    </row>
    <row r="1169" spans="1:25">
      <c r="A1169">
        <v>13529</v>
      </c>
      <c r="B1169" t="s">
        <v>25</v>
      </c>
      <c r="C1169" t="str">
        <f t="shared" si="37"/>
        <v>INTEGRA Saloon</v>
      </c>
      <c r="D1169" t="str">
        <f t="shared" si="36"/>
        <v>1.6</v>
      </c>
      <c r="E1169" t="s">
        <v>26</v>
      </c>
      <c r="F1169">
        <v>198501</v>
      </c>
      <c r="G1169">
        <v>199012</v>
      </c>
      <c r="H1169">
        <v>74</v>
      </c>
      <c r="I1169">
        <v>100</v>
      </c>
      <c r="J1169">
        <v>1590</v>
      </c>
      <c r="K1169">
        <v>2947853</v>
      </c>
      <c r="L1169" t="s">
        <v>1463</v>
      </c>
      <c r="M1169" t="str">
        <f>"330174"</f>
        <v>330174</v>
      </c>
      <c r="N1169" t="str">
        <f>"330174"</f>
        <v>330174</v>
      </c>
      <c r="O1169" t="str">
        <f>""</f>
        <v/>
      </c>
      <c r="P1169" t="s">
        <v>1122</v>
      </c>
      <c r="Q1169" t="str">
        <f>""</f>
        <v/>
      </c>
      <c r="R1169" t="s">
        <v>1594</v>
      </c>
      <c r="T1169" t="s">
        <v>1595</v>
      </c>
      <c r="U1169">
        <v>1103</v>
      </c>
      <c r="V1169" t="s">
        <v>1122</v>
      </c>
      <c r="W1169" t="s">
        <v>1069</v>
      </c>
      <c r="X1169" t="s">
        <v>626</v>
      </c>
      <c r="Y1169" t="s">
        <v>950</v>
      </c>
    </row>
    <row r="1170" spans="1:25">
      <c r="A1170">
        <v>13529</v>
      </c>
      <c r="B1170" t="s">
        <v>25</v>
      </c>
      <c r="C1170" t="str">
        <f t="shared" si="37"/>
        <v>INTEGRA Saloon</v>
      </c>
      <c r="D1170" t="str">
        <f t="shared" si="36"/>
        <v>1.6</v>
      </c>
      <c r="E1170" t="s">
        <v>26</v>
      </c>
      <c r="F1170">
        <v>198501</v>
      </c>
      <c r="G1170">
        <v>199012</v>
      </c>
      <c r="H1170">
        <v>74</v>
      </c>
      <c r="I1170">
        <v>100</v>
      </c>
      <c r="J1170">
        <v>1590</v>
      </c>
      <c r="K1170">
        <v>3034994</v>
      </c>
      <c r="L1170" t="s">
        <v>33</v>
      </c>
      <c r="M1170" t="str">
        <f>"J5654000"</f>
        <v>J5654000</v>
      </c>
      <c r="N1170" t="str">
        <f>"J5654000"</f>
        <v>J5654000</v>
      </c>
      <c r="O1170" t="str">
        <f>""</f>
        <v/>
      </c>
      <c r="P1170" t="s">
        <v>1122</v>
      </c>
      <c r="Q1170" t="str">
        <f>"8711768075880"</f>
        <v>8711768075880</v>
      </c>
      <c r="R1170" t="s">
        <v>1123</v>
      </c>
      <c r="T1170" t="s">
        <v>1124</v>
      </c>
      <c r="U1170">
        <v>1103</v>
      </c>
      <c r="V1170" t="s">
        <v>1122</v>
      </c>
      <c r="W1170" t="s">
        <v>1069</v>
      </c>
      <c r="X1170" t="s">
        <v>626</v>
      </c>
      <c r="Y1170" t="s">
        <v>950</v>
      </c>
    </row>
    <row r="1171" spans="1:25">
      <c r="A1171">
        <v>13529</v>
      </c>
      <c r="B1171" t="s">
        <v>25</v>
      </c>
      <c r="C1171" t="str">
        <f t="shared" si="37"/>
        <v>INTEGRA Saloon</v>
      </c>
      <c r="D1171" t="str">
        <f t="shared" si="36"/>
        <v>1.6</v>
      </c>
      <c r="E1171" t="s">
        <v>26</v>
      </c>
      <c r="F1171">
        <v>198501</v>
      </c>
      <c r="G1171">
        <v>199012</v>
      </c>
      <c r="H1171">
        <v>74</v>
      </c>
      <c r="I1171">
        <v>100</v>
      </c>
      <c r="J1171">
        <v>1590</v>
      </c>
      <c r="K1171">
        <v>3963911</v>
      </c>
      <c r="L1171" t="s">
        <v>27</v>
      </c>
      <c r="M1171" t="str">
        <f>"H10101"</f>
        <v>H10101</v>
      </c>
      <c r="N1171" t="str">
        <f>"H101-01"</f>
        <v>H101-01</v>
      </c>
      <c r="O1171" t="str">
        <f>""</f>
        <v/>
      </c>
      <c r="P1171" t="s">
        <v>1122</v>
      </c>
      <c r="Q1171" t="str">
        <f>"8718993209721"</f>
        <v>8718993209721</v>
      </c>
      <c r="R1171" t="s">
        <v>1125</v>
      </c>
      <c r="T1171" s="1" t="s">
        <v>1126</v>
      </c>
      <c r="U1171">
        <v>1103</v>
      </c>
      <c r="V1171" t="s">
        <v>1122</v>
      </c>
      <c r="W1171" t="s">
        <v>1069</v>
      </c>
      <c r="X1171" t="s">
        <v>626</v>
      </c>
      <c r="Y1171" t="s">
        <v>950</v>
      </c>
    </row>
    <row r="1172" spans="1:25">
      <c r="A1172">
        <v>13529</v>
      </c>
      <c r="B1172" t="s">
        <v>25</v>
      </c>
      <c r="C1172" t="str">
        <f t="shared" si="37"/>
        <v>INTEGRA Saloon</v>
      </c>
      <c r="D1172" t="str">
        <f t="shared" si="36"/>
        <v>1.6</v>
      </c>
      <c r="E1172" t="s">
        <v>26</v>
      </c>
      <c r="F1172">
        <v>198501</v>
      </c>
      <c r="G1172">
        <v>199012</v>
      </c>
      <c r="H1172">
        <v>74</v>
      </c>
      <c r="I1172">
        <v>100</v>
      </c>
      <c r="J1172">
        <v>1590</v>
      </c>
      <c r="K1172">
        <v>472977</v>
      </c>
      <c r="L1172" t="s">
        <v>746</v>
      </c>
      <c r="M1172" t="str">
        <f>"MBA1090"</f>
        <v>MBA1090</v>
      </c>
      <c r="N1172" t="str">
        <f>"MBA1090"</f>
        <v>MBA1090</v>
      </c>
      <c r="O1172" t="str">
        <f>"97200 0484"</f>
        <v>97200 0484</v>
      </c>
      <c r="P1172" t="s">
        <v>1127</v>
      </c>
      <c r="Q1172" t="str">
        <f>"5706021006452"</f>
        <v>5706021006452</v>
      </c>
      <c r="R1172" t="s">
        <v>1128</v>
      </c>
      <c r="S1172" t="s">
        <v>310</v>
      </c>
      <c r="T1172" t="s">
        <v>1129</v>
      </c>
      <c r="U1172">
        <v>1164</v>
      </c>
      <c r="V1172" t="s">
        <v>1127</v>
      </c>
      <c r="W1172" t="s">
        <v>1130</v>
      </c>
      <c r="X1172" t="s">
        <v>224</v>
      </c>
      <c r="Y1172" t="s">
        <v>1131</v>
      </c>
    </row>
    <row r="1173" spans="1:25">
      <c r="A1173">
        <v>13529</v>
      </c>
      <c r="B1173" t="s">
        <v>25</v>
      </c>
      <c r="C1173" t="str">
        <f t="shared" si="37"/>
        <v>INTEGRA Saloon</v>
      </c>
      <c r="D1173" t="str">
        <f t="shared" si="36"/>
        <v>1.6</v>
      </c>
      <c r="E1173" t="s">
        <v>26</v>
      </c>
      <c r="F1173">
        <v>198501</v>
      </c>
      <c r="G1173">
        <v>199012</v>
      </c>
      <c r="H1173">
        <v>74</v>
      </c>
      <c r="I1173">
        <v>100</v>
      </c>
      <c r="J1173">
        <v>1590</v>
      </c>
      <c r="K1173">
        <v>2624540</v>
      </c>
      <c r="L1173" t="s">
        <v>377</v>
      </c>
      <c r="M1173" t="str">
        <f>"PFK239"</f>
        <v>PFK239</v>
      </c>
      <c r="N1173" t="str">
        <f>"PFK239"</f>
        <v>PFK239</v>
      </c>
      <c r="O1173" t="str">
        <f>""</f>
        <v/>
      </c>
      <c r="P1173" t="s">
        <v>1127</v>
      </c>
      <c r="Q1173" t="str">
        <f>"3322937106370"</f>
        <v>3322937106370</v>
      </c>
      <c r="R1173" t="s">
        <v>1132</v>
      </c>
      <c r="S1173" t="s">
        <v>316</v>
      </c>
      <c r="T1173" t="s">
        <v>1133</v>
      </c>
      <c r="U1173">
        <v>1164</v>
      </c>
      <c r="V1173" t="s">
        <v>1127</v>
      </c>
      <c r="W1173" t="s">
        <v>1130</v>
      </c>
      <c r="X1173" t="s">
        <v>224</v>
      </c>
      <c r="Y1173" t="s">
        <v>1131</v>
      </c>
    </row>
    <row r="1174" spans="1:25">
      <c r="A1174">
        <v>13529</v>
      </c>
      <c r="B1174" t="s">
        <v>25</v>
      </c>
      <c r="C1174" t="str">
        <f t="shared" si="37"/>
        <v>INTEGRA Saloon</v>
      </c>
      <c r="D1174" t="str">
        <f t="shared" si="36"/>
        <v>1.6</v>
      </c>
      <c r="E1174" t="s">
        <v>26</v>
      </c>
      <c r="F1174">
        <v>198501</v>
      </c>
      <c r="G1174">
        <v>199012</v>
      </c>
      <c r="H1174">
        <v>74</v>
      </c>
      <c r="I1174">
        <v>100</v>
      </c>
      <c r="J1174">
        <v>1590</v>
      </c>
      <c r="K1174">
        <v>2594521</v>
      </c>
      <c r="L1174" t="s">
        <v>1453</v>
      </c>
      <c r="M1174" t="str">
        <f>"94052"</f>
        <v>94052</v>
      </c>
      <c r="N1174" t="str">
        <f>"9.4052"</f>
        <v>9.4052</v>
      </c>
      <c r="O1174" t="str">
        <f>"EPS 1.965.052"</f>
        <v>EPS 1.965.052</v>
      </c>
      <c r="P1174" t="s">
        <v>1596</v>
      </c>
      <c r="Q1174" t="str">
        <f>"8012510066508"</f>
        <v>8012510066508</v>
      </c>
      <c r="S1174" t="s">
        <v>1456</v>
      </c>
      <c r="T1174" s="1" t="s">
        <v>1597</v>
      </c>
      <c r="U1174">
        <v>1218</v>
      </c>
      <c r="V1174" t="s">
        <v>1596</v>
      </c>
      <c r="W1174" t="s">
        <v>1586</v>
      </c>
      <c r="X1174" t="s">
        <v>1025</v>
      </c>
    </row>
    <row r="1175" spans="1:25">
      <c r="A1175">
        <v>13529</v>
      </c>
      <c r="B1175" t="s">
        <v>25</v>
      </c>
      <c r="C1175" t="str">
        <f t="shared" si="37"/>
        <v>INTEGRA Saloon</v>
      </c>
      <c r="D1175" t="str">
        <f t="shared" si="36"/>
        <v>1.6</v>
      </c>
      <c r="E1175" t="s">
        <v>26</v>
      </c>
      <c r="F1175">
        <v>198501</v>
      </c>
      <c r="G1175">
        <v>199012</v>
      </c>
      <c r="H1175">
        <v>74</v>
      </c>
      <c r="I1175">
        <v>100</v>
      </c>
      <c r="J1175">
        <v>1590</v>
      </c>
      <c r="K1175">
        <v>2706968</v>
      </c>
      <c r="L1175" t="s">
        <v>1458</v>
      </c>
      <c r="M1175" t="str">
        <f>"V26700012"</f>
        <v>V26700012</v>
      </c>
      <c r="N1175" t="str">
        <f>"V26-70-0012"</f>
        <v>V26-70-0012</v>
      </c>
      <c r="O1175" t="str">
        <f>""</f>
        <v/>
      </c>
      <c r="P1175" t="s">
        <v>1596</v>
      </c>
      <c r="Q1175" t="str">
        <f>"4046001552496"</f>
        <v>4046001552496</v>
      </c>
      <c r="S1175" t="s">
        <v>1456</v>
      </c>
      <c r="T1175" s="1" t="s">
        <v>1598</v>
      </c>
      <c r="U1175">
        <v>1218</v>
      </c>
      <c r="V1175" t="s">
        <v>1596</v>
      </c>
      <c r="W1175" t="s">
        <v>1586</v>
      </c>
      <c r="X1175" t="s">
        <v>1025</v>
      </c>
    </row>
    <row r="1176" spans="1:25">
      <c r="A1176">
        <v>13529</v>
      </c>
      <c r="B1176" t="s">
        <v>25</v>
      </c>
      <c r="C1176" t="str">
        <f t="shared" si="37"/>
        <v>INTEGRA Saloon</v>
      </c>
      <c r="D1176" t="str">
        <f t="shared" si="36"/>
        <v>1.6</v>
      </c>
      <c r="E1176" t="s">
        <v>26</v>
      </c>
      <c r="F1176">
        <v>198501</v>
      </c>
      <c r="G1176">
        <v>199012</v>
      </c>
      <c r="H1176">
        <v>74</v>
      </c>
      <c r="I1176">
        <v>100</v>
      </c>
      <c r="J1176">
        <v>1590</v>
      </c>
      <c r="K1176">
        <v>3762668</v>
      </c>
      <c r="L1176" t="s">
        <v>1580</v>
      </c>
      <c r="M1176" t="str">
        <f>"130086"</f>
        <v>130086</v>
      </c>
      <c r="N1176" t="str">
        <f>"13-0086"</f>
        <v>13-0086</v>
      </c>
      <c r="O1176" t="str">
        <f>"MG-00012"</f>
        <v>MG-00012</v>
      </c>
      <c r="P1176" t="s">
        <v>1596</v>
      </c>
      <c r="Q1176" t="str">
        <f>""</f>
        <v/>
      </c>
      <c r="S1176" t="s">
        <v>1253</v>
      </c>
      <c r="U1176">
        <v>1218</v>
      </c>
      <c r="V1176" t="s">
        <v>1596</v>
      </c>
      <c r="W1176" t="s">
        <v>1586</v>
      </c>
      <c r="X1176" t="s">
        <v>1025</v>
      </c>
    </row>
    <row r="1177" spans="1:25">
      <c r="A1177">
        <v>13529</v>
      </c>
      <c r="B1177" t="s">
        <v>25</v>
      </c>
      <c r="C1177" t="str">
        <f t="shared" si="37"/>
        <v>INTEGRA Saloon</v>
      </c>
      <c r="D1177" t="str">
        <f t="shared" si="36"/>
        <v>1.6</v>
      </c>
      <c r="E1177" t="s">
        <v>26</v>
      </c>
      <c r="F1177">
        <v>198501</v>
      </c>
      <c r="G1177">
        <v>199012</v>
      </c>
      <c r="H1177">
        <v>74</v>
      </c>
      <c r="I1177">
        <v>100</v>
      </c>
      <c r="J1177">
        <v>1590</v>
      </c>
      <c r="K1177">
        <v>3964033</v>
      </c>
      <c r="L1177" t="s">
        <v>27</v>
      </c>
      <c r="M1177" t="str">
        <f>"H14406"</f>
        <v>H14406</v>
      </c>
      <c r="N1177" t="str">
        <f>"H144-06"</f>
        <v>H144-06</v>
      </c>
      <c r="O1177" t="str">
        <f>""</f>
        <v/>
      </c>
      <c r="P1177" t="s">
        <v>1596</v>
      </c>
      <c r="Q1177" t="str">
        <f>"8718993211489"</f>
        <v>8718993211489</v>
      </c>
      <c r="R1177" t="s">
        <v>1599</v>
      </c>
      <c r="T1177" s="1" t="s">
        <v>1600</v>
      </c>
      <c r="U1177">
        <v>1218</v>
      </c>
      <c r="V1177" t="s">
        <v>1596</v>
      </c>
      <c r="W1177" t="s">
        <v>1586</v>
      </c>
      <c r="X1177" t="s">
        <v>1025</v>
      </c>
    </row>
    <row r="1178" spans="1:25">
      <c r="A1178">
        <v>13529</v>
      </c>
      <c r="B1178" t="s">
        <v>25</v>
      </c>
      <c r="C1178" t="str">
        <f t="shared" si="37"/>
        <v>INTEGRA Saloon</v>
      </c>
      <c r="D1178" t="str">
        <f t="shared" si="36"/>
        <v>1.6</v>
      </c>
      <c r="E1178" t="s">
        <v>26</v>
      </c>
      <c r="F1178">
        <v>198501</v>
      </c>
      <c r="G1178">
        <v>199012</v>
      </c>
      <c r="H1178">
        <v>74</v>
      </c>
      <c r="I1178">
        <v>100</v>
      </c>
      <c r="J1178">
        <v>1590</v>
      </c>
      <c r="K1178">
        <v>4034502</v>
      </c>
      <c r="L1178" t="s">
        <v>1472</v>
      </c>
      <c r="M1178" t="str">
        <f>"138068"</f>
        <v>138068</v>
      </c>
      <c r="N1178" t="str">
        <f>"138068"</f>
        <v>138068</v>
      </c>
      <c r="O1178" t="str">
        <f>"138068"</f>
        <v>138068</v>
      </c>
      <c r="P1178" t="s">
        <v>1596</v>
      </c>
      <c r="Q1178" t="str">
        <f>""</f>
        <v/>
      </c>
      <c r="R1178" t="s">
        <v>1601</v>
      </c>
      <c r="T1178" s="1" t="s">
        <v>1602</v>
      </c>
      <c r="U1178">
        <v>1218</v>
      </c>
      <c r="V1178" t="s">
        <v>1596</v>
      </c>
      <c r="W1178" t="s">
        <v>1586</v>
      </c>
      <c r="X1178" t="s">
        <v>1025</v>
      </c>
    </row>
    <row r="1179" spans="1:25">
      <c r="A1179">
        <v>13529</v>
      </c>
      <c r="B1179" t="s">
        <v>25</v>
      </c>
      <c r="C1179" t="str">
        <f t="shared" si="37"/>
        <v>INTEGRA Saloon</v>
      </c>
      <c r="D1179" t="str">
        <f t="shared" si="36"/>
        <v>1.6</v>
      </c>
      <c r="E1179" t="s">
        <v>26</v>
      </c>
      <c r="F1179">
        <v>198501</v>
      </c>
      <c r="G1179">
        <v>199012</v>
      </c>
      <c r="H1179">
        <v>74</v>
      </c>
      <c r="I1179">
        <v>100</v>
      </c>
      <c r="J1179">
        <v>1590</v>
      </c>
      <c r="K1179">
        <v>4486676</v>
      </c>
      <c r="L1179" t="s">
        <v>1475</v>
      </c>
      <c r="M1179" t="str">
        <f>"ICM1004"</f>
        <v>ICM1004</v>
      </c>
      <c r="N1179" t="str">
        <f>"ICM1004"</f>
        <v>ICM1004</v>
      </c>
      <c r="O1179" t="str">
        <f>""</f>
        <v/>
      </c>
      <c r="P1179" t="s">
        <v>1596</v>
      </c>
      <c r="Q1179" t="str">
        <f>""</f>
        <v/>
      </c>
      <c r="T1179" t="s">
        <v>1603</v>
      </c>
      <c r="U1179">
        <v>1218</v>
      </c>
      <c r="V1179" t="s">
        <v>1596</v>
      </c>
      <c r="W1179" t="s">
        <v>1586</v>
      </c>
      <c r="X1179" t="s">
        <v>1025</v>
      </c>
    </row>
    <row r="1180" spans="1:25">
      <c r="A1180">
        <v>13529</v>
      </c>
      <c r="B1180" t="s">
        <v>25</v>
      </c>
      <c r="C1180" t="str">
        <f t="shared" si="37"/>
        <v>INTEGRA Saloon</v>
      </c>
      <c r="D1180" t="str">
        <f t="shared" si="36"/>
        <v>1.6</v>
      </c>
      <c r="E1180" t="s">
        <v>26</v>
      </c>
      <c r="F1180">
        <v>198501</v>
      </c>
      <c r="G1180">
        <v>199012</v>
      </c>
      <c r="H1180">
        <v>74</v>
      </c>
      <c r="I1180">
        <v>100</v>
      </c>
      <c r="J1180">
        <v>1590</v>
      </c>
      <c r="K1180">
        <v>2040106</v>
      </c>
      <c r="L1180" t="s">
        <v>518</v>
      </c>
      <c r="M1180" t="str">
        <f>"WP1730"</f>
        <v>WP1730</v>
      </c>
      <c r="N1180" t="str">
        <f>"WP1730"</f>
        <v>WP1730</v>
      </c>
      <c r="O1180" t="str">
        <f>""</f>
        <v/>
      </c>
      <c r="P1180" t="s">
        <v>1134</v>
      </c>
      <c r="Q1180" t="str">
        <f>"5012759124192"</f>
        <v>5012759124192</v>
      </c>
      <c r="T1180" t="s">
        <v>1604</v>
      </c>
      <c r="U1180">
        <v>1260</v>
      </c>
      <c r="V1180" t="s">
        <v>1134</v>
      </c>
      <c r="W1180" t="s">
        <v>944</v>
      </c>
      <c r="X1180" t="s">
        <v>626</v>
      </c>
      <c r="Y1180" t="s">
        <v>1138</v>
      </c>
    </row>
    <row r="1181" spans="1:25">
      <c r="A1181">
        <v>13529</v>
      </c>
      <c r="B1181" t="s">
        <v>25</v>
      </c>
      <c r="C1181" t="str">
        <f t="shared" si="37"/>
        <v>INTEGRA Saloon</v>
      </c>
      <c r="D1181" t="str">
        <f t="shared" si="36"/>
        <v>1.6</v>
      </c>
      <c r="E1181" t="s">
        <v>26</v>
      </c>
      <c r="F1181">
        <v>198501</v>
      </c>
      <c r="G1181">
        <v>199012</v>
      </c>
      <c r="H1181">
        <v>74</v>
      </c>
      <c r="I1181">
        <v>100</v>
      </c>
      <c r="J1181">
        <v>1590</v>
      </c>
      <c r="K1181">
        <v>2908387</v>
      </c>
      <c r="L1181" t="s">
        <v>1605</v>
      </c>
      <c r="M1181" t="str">
        <f>"1368"</f>
        <v>1368</v>
      </c>
      <c r="N1181" t="str">
        <f>"1368"</f>
        <v>1368</v>
      </c>
      <c r="O1181" t="str">
        <f>""</f>
        <v/>
      </c>
      <c r="P1181" t="s">
        <v>1134</v>
      </c>
      <c r="Q1181" t="str">
        <f>"8435013802853"</f>
        <v>8435013802853</v>
      </c>
      <c r="R1181" t="s">
        <v>1606</v>
      </c>
      <c r="T1181" s="1" t="s">
        <v>1607</v>
      </c>
      <c r="U1181">
        <v>1260</v>
      </c>
      <c r="V1181" t="s">
        <v>1134</v>
      </c>
      <c r="W1181" t="s">
        <v>944</v>
      </c>
      <c r="X1181" t="s">
        <v>626</v>
      </c>
      <c r="Y1181" t="s">
        <v>1138</v>
      </c>
    </row>
    <row r="1182" spans="1:25">
      <c r="A1182">
        <v>13529</v>
      </c>
      <c r="B1182" t="s">
        <v>25</v>
      </c>
      <c r="C1182" t="str">
        <f t="shared" si="37"/>
        <v>INTEGRA Saloon</v>
      </c>
      <c r="D1182" t="str">
        <f t="shared" si="36"/>
        <v>1.6</v>
      </c>
      <c r="E1182" t="s">
        <v>26</v>
      </c>
      <c r="F1182">
        <v>198501</v>
      </c>
      <c r="G1182">
        <v>199012</v>
      </c>
      <c r="H1182">
        <v>74</v>
      </c>
      <c r="I1182">
        <v>100</v>
      </c>
      <c r="J1182">
        <v>1590</v>
      </c>
      <c r="K1182">
        <v>2965638</v>
      </c>
      <c r="L1182" t="s">
        <v>1608</v>
      </c>
      <c r="M1182" t="str">
        <f>"FWP70531"</f>
        <v>FWP70531</v>
      </c>
      <c r="N1182" t="str">
        <f>"FWP70531"</f>
        <v>FWP70531</v>
      </c>
      <c r="O1182" t="str">
        <f>""</f>
        <v/>
      </c>
      <c r="P1182" t="s">
        <v>1134</v>
      </c>
      <c r="Q1182" t="str">
        <f>"4030434231455"</f>
        <v>4030434231455</v>
      </c>
      <c r="R1182" t="s">
        <v>1609</v>
      </c>
      <c r="T1182" s="1" t="s">
        <v>1610</v>
      </c>
      <c r="U1182">
        <v>1260</v>
      </c>
      <c r="V1182" t="s">
        <v>1134</v>
      </c>
      <c r="W1182" t="s">
        <v>944</v>
      </c>
      <c r="X1182" t="s">
        <v>626</v>
      </c>
      <c r="Y1182" t="s">
        <v>1138</v>
      </c>
    </row>
    <row r="1183" spans="1:25">
      <c r="A1183">
        <v>13529</v>
      </c>
      <c r="B1183" t="s">
        <v>25</v>
      </c>
      <c r="C1183" t="str">
        <f t="shared" si="37"/>
        <v>INTEGRA Saloon</v>
      </c>
      <c r="D1183" t="str">
        <f t="shared" si="36"/>
        <v>1.6</v>
      </c>
      <c r="E1183" t="s">
        <v>26</v>
      </c>
      <c r="F1183">
        <v>198501</v>
      </c>
      <c r="G1183">
        <v>199012</v>
      </c>
      <c r="H1183">
        <v>74</v>
      </c>
      <c r="I1183">
        <v>100</v>
      </c>
      <c r="J1183">
        <v>1590</v>
      </c>
      <c r="K1183">
        <v>3027438</v>
      </c>
      <c r="L1183" t="s">
        <v>33</v>
      </c>
      <c r="M1183" t="str">
        <f>"J1514019"</f>
        <v>J1514019</v>
      </c>
      <c r="N1183" t="str">
        <f>"J1514019"</f>
        <v>J1514019</v>
      </c>
      <c r="O1183" t="str">
        <f>""</f>
        <v/>
      </c>
      <c r="P1183" t="s">
        <v>1134</v>
      </c>
      <c r="Q1183" t="str">
        <f>"8711768038038"</f>
        <v>8711768038038</v>
      </c>
      <c r="R1183" t="s">
        <v>1611</v>
      </c>
      <c r="T1183" s="1" t="s">
        <v>1612</v>
      </c>
      <c r="U1183">
        <v>1260</v>
      </c>
      <c r="V1183" t="s">
        <v>1134</v>
      </c>
      <c r="W1183" t="s">
        <v>944</v>
      </c>
      <c r="X1183" t="s">
        <v>626</v>
      </c>
      <c r="Y1183" t="s">
        <v>1138</v>
      </c>
    </row>
    <row r="1184" spans="1:25">
      <c r="A1184">
        <v>13529</v>
      </c>
      <c r="B1184" t="s">
        <v>25</v>
      </c>
      <c r="C1184" t="str">
        <f t="shared" si="37"/>
        <v>INTEGRA Saloon</v>
      </c>
      <c r="D1184" t="str">
        <f t="shared" si="36"/>
        <v>1.6</v>
      </c>
      <c r="E1184" t="s">
        <v>26</v>
      </c>
      <c r="F1184">
        <v>198501</v>
      </c>
      <c r="G1184">
        <v>199012</v>
      </c>
      <c r="H1184">
        <v>74</v>
      </c>
      <c r="I1184">
        <v>100</v>
      </c>
      <c r="J1184">
        <v>1590</v>
      </c>
      <c r="K1184">
        <v>3963958</v>
      </c>
      <c r="L1184" t="s">
        <v>27</v>
      </c>
      <c r="M1184" t="str">
        <f>"H10808"</f>
        <v>H10808</v>
      </c>
      <c r="N1184" t="str">
        <f>"H108-08"</f>
        <v>H108-08</v>
      </c>
      <c r="O1184" t="str">
        <f>""</f>
        <v/>
      </c>
      <c r="P1184" t="s">
        <v>1134</v>
      </c>
      <c r="Q1184" t="str">
        <f>"8718993210307"</f>
        <v>8718993210307</v>
      </c>
      <c r="R1184" t="s">
        <v>1613</v>
      </c>
      <c r="T1184" s="1" t="s">
        <v>1614</v>
      </c>
      <c r="U1184">
        <v>1260</v>
      </c>
      <c r="V1184" t="s">
        <v>1134</v>
      </c>
      <c r="W1184" t="s">
        <v>944</v>
      </c>
      <c r="X1184" t="s">
        <v>626</v>
      </c>
      <c r="Y1184" t="s">
        <v>1138</v>
      </c>
    </row>
    <row r="1185" spans="1:25">
      <c r="A1185">
        <v>13529</v>
      </c>
      <c r="B1185" t="s">
        <v>25</v>
      </c>
      <c r="C1185" t="str">
        <f t="shared" si="37"/>
        <v>INTEGRA Saloon</v>
      </c>
      <c r="D1185" t="str">
        <f t="shared" si="36"/>
        <v>1.6</v>
      </c>
      <c r="E1185" t="s">
        <v>26</v>
      </c>
      <c r="F1185">
        <v>198501</v>
      </c>
      <c r="G1185">
        <v>199012</v>
      </c>
      <c r="H1185">
        <v>74</v>
      </c>
      <c r="I1185">
        <v>100</v>
      </c>
      <c r="J1185">
        <v>1590</v>
      </c>
      <c r="K1185">
        <v>1096825</v>
      </c>
      <c r="L1185" t="s">
        <v>318</v>
      </c>
      <c r="M1185" t="str">
        <f>"03013790972"</f>
        <v>03013790972</v>
      </c>
      <c r="N1185" t="str">
        <f>"03.0137-9097.2"</f>
        <v>03.0137-9097.2</v>
      </c>
      <c r="O1185" t="str">
        <f>"669097"</f>
        <v>669097</v>
      </c>
      <c r="P1185" t="s">
        <v>1141</v>
      </c>
      <c r="Q1185" t="str">
        <f>"4006633119627"</f>
        <v>4006633119627</v>
      </c>
      <c r="S1185" t="s">
        <v>1142</v>
      </c>
      <c r="T1185" t="s">
        <v>1143</v>
      </c>
      <c r="U1185">
        <v>1502</v>
      </c>
      <c r="V1185" t="s">
        <v>1141</v>
      </c>
      <c r="W1185" t="s">
        <v>1130</v>
      </c>
      <c r="X1185" t="s">
        <v>224</v>
      </c>
      <c r="Y1185" t="s">
        <v>1144</v>
      </c>
    </row>
    <row r="1186" spans="1:25">
      <c r="A1186">
        <v>13529</v>
      </c>
      <c r="B1186" t="s">
        <v>25</v>
      </c>
      <c r="C1186" t="str">
        <f t="shared" si="37"/>
        <v>INTEGRA Saloon</v>
      </c>
      <c r="D1186" t="str">
        <f t="shared" si="36"/>
        <v>1.6</v>
      </c>
      <c r="E1186" t="s">
        <v>26</v>
      </c>
      <c r="F1186">
        <v>198501</v>
      </c>
      <c r="G1186">
        <v>199012</v>
      </c>
      <c r="H1186">
        <v>74</v>
      </c>
      <c r="I1186">
        <v>100</v>
      </c>
      <c r="J1186">
        <v>1590</v>
      </c>
      <c r="K1186">
        <v>138024</v>
      </c>
      <c r="L1186" t="s">
        <v>1093</v>
      </c>
      <c r="M1186" t="str">
        <f>"AK216"</f>
        <v>AK216</v>
      </c>
      <c r="N1186" t="str">
        <f>"AK216"</f>
        <v>AK216</v>
      </c>
      <c r="O1186" t="str">
        <f>""</f>
        <v/>
      </c>
      <c r="P1186" t="s">
        <v>1145</v>
      </c>
      <c r="Q1186" t="str">
        <f>"5412096000362"</f>
        <v>5412096000362</v>
      </c>
      <c r="S1186" t="s">
        <v>1146</v>
      </c>
      <c r="U1186">
        <v>1593</v>
      </c>
      <c r="V1186" t="s">
        <v>1145</v>
      </c>
      <c r="W1186" t="s">
        <v>1147</v>
      </c>
      <c r="X1186" t="s">
        <v>1085</v>
      </c>
      <c r="Y1186" t="s">
        <v>1148</v>
      </c>
    </row>
    <row r="1187" spans="1:25">
      <c r="A1187">
        <v>13529</v>
      </c>
      <c r="B1187" t="s">
        <v>25</v>
      </c>
      <c r="C1187" t="str">
        <f t="shared" si="37"/>
        <v>INTEGRA Saloon</v>
      </c>
      <c r="D1187" t="str">
        <f t="shared" si="36"/>
        <v>1.6</v>
      </c>
      <c r="E1187" t="s">
        <v>26</v>
      </c>
      <c r="F1187">
        <v>198501</v>
      </c>
      <c r="G1187">
        <v>199012</v>
      </c>
      <c r="H1187">
        <v>74</v>
      </c>
      <c r="I1187">
        <v>100</v>
      </c>
      <c r="J1187">
        <v>1590</v>
      </c>
      <c r="K1187">
        <v>4531224</v>
      </c>
      <c r="L1187" t="s">
        <v>59</v>
      </c>
      <c r="M1187" t="str">
        <f>"26040008"</f>
        <v>26040008</v>
      </c>
      <c r="N1187" t="str">
        <f>"26-040008"</f>
        <v>26-040008</v>
      </c>
      <c r="O1187" t="str">
        <f>""</f>
        <v/>
      </c>
      <c r="P1187" t="s">
        <v>1149</v>
      </c>
      <c r="Q1187" t="str">
        <f>""</f>
        <v/>
      </c>
      <c r="R1187" t="s">
        <v>1150</v>
      </c>
      <c r="S1187" t="s">
        <v>64</v>
      </c>
      <c r="T1187" t="s">
        <v>1151</v>
      </c>
      <c r="U1187">
        <v>2254</v>
      </c>
      <c r="V1187" t="s">
        <v>1149</v>
      </c>
      <c r="W1187" t="s">
        <v>1152</v>
      </c>
      <c r="X1187" t="s">
        <v>224</v>
      </c>
      <c r="Y1187" t="s">
        <v>1153</v>
      </c>
    </row>
    <row r="1188" spans="1:25">
      <c r="A1188">
        <v>13529</v>
      </c>
      <c r="B1188" t="s">
        <v>25</v>
      </c>
      <c r="C1188" t="str">
        <f t="shared" si="37"/>
        <v>INTEGRA Saloon</v>
      </c>
      <c r="D1188" t="str">
        <f t="shared" si="36"/>
        <v>1.6</v>
      </c>
      <c r="E1188" t="s">
        <v>26</v>
      </c>
      <c r="F1188">
        <v>198501</v>
      </c>
      <c r="G1188">
        <v>199012</v>
      </c>
      <c r="H1188">
        <v>74</v>
      </c>
      <c r="I1188">
        <v>100</v>
      </c>
      <c r="J1188">
        <v>1590</v>
      </c>
      <c r="K1188">
        <v>2592489</v>
      </c>
      <c r="L1188" t="s">
        <v>1453</v>
      </c>
      <c r="M1188" t="str">
        <f>"73056"</f>
        <v>73056</v>
      </c>
      <c r="N1188" t="str">
        <f>"7.3056"</f>
        <v>7.3056</v>
      </c>
      <c r="O1188" t="str">
        <f>"EPS 1.830.056"</f>
        <v>EPS 1.830.056</v>
      </c>
      <c r="P1188" t="s">
        <v>1567</v>
      </c>
      <c r="Q1188" t="str">
        <f>"8012510040638"</f>
        <v>8012510040638</v>
      </c>
      <c r="S1188" t="s">
        <v>1260</v>
      </c>
      <c r="T1188" s="1" t="s">
        <v>1568</v>
      </c>
      <c r="U1188">
        <v>2394</v>
      </c>
      <c r="V1188" t="s">
        <v>1073</v>
      </c>
      <c r="W1188" t="s">
        <v>1077</v>
      </c>
      <c r="X1188" t="s">
        <v>1615</v>
      </c>
      <c r="Y1188" t="s">
        <v>1078</v>
      </c>
    </row>
    <row r="1189" spans="1:25">
      <c r="A1189">
        <v>13529</v>
      </c>
      <c r="B1189" t="s">
        <v>25</v>
      </c>
      <c r="C1189" t="str">
        <f t="shared" si="37"/>
        <v>INTEGRA Saloon</v>
      </c>
      <c r="D1189" t="str">
        <f t="shared" si="36"/>
        <v>1.6</v>
      </c>
      <c r="E1189" t="s">
        <v>26</v>
      </c>
      <c r="F1189">
        <v>198501</v>
      </c>
      <c r="G1189">
        <v>199012</v>
      </c>
      <c r="H1189">
        <v>74</v>
      </c>
      <c r="I1189">
        <v>100</v>
      </c>
      <c r="J1189">
        <v>1590</v>
      </c>
      <c r="K1189">
        <v>2592565</v>
      </c>
      <c r="L1189" t="s">
        <v>1453</v>
      </c>
      <c r="M1189" t="str">
        <f>"73198"</f>
        <v>73198</v>
      </c>
      <c r="N1189" t="str">
        <f>"7.3198"</f>
        <v>7.3198</v>
      </c>
      <c r="O1189" t="str">
        <f>"EPS 1.830.198"</f>
        <v>EPS 1.830.198</v>
      </c>
      <c r="P1189" t="s">
        <v>1569</v>
      </c>
      <c r="Q1189" t="str">
        <f>"8012510070772"</f>
        <v>8012510070772</v>
      </c>
      <c r="S1189" t="s">
        <v>1456</v>
      </c>
      <c r="T1189" s="1" t="s">
        <v>1570</v>
      </c>
      <c r="U1189">
        <v>2394</v>
      </c>
      <c r="V1189" t="s">
        <v>1073</v>
      </c>
      <c r="W1189" t="s">
        <v>1077</v>
      </c>
      <c r="X1189" t="s">
        <v>1615</v>
      </c>
      <c r="Y1189" t="s">
        <v>1078</v>
      </c>
    </row>
    <row r="1190" spans="1:25">
      <c r="A1190">
        <v>13529</v>
      </c>
      <c r="B1190" t="s">
        <v>25</v>
      </c>
      <c r="C1190" t="str">
        <f t="shared" si="37"/>
        <v>INTEGRA Saloon</v>
      </c>
      <c r="D1190" t="str">
        <f t="shared" si="36"/>
        <v>1.6</v>
      </c>
      <c r="E1190" t="s">
        <v>26</v>
      </c>
      <c r="F1190">
        <v>198501</v>
      </c>
      <c r="G1190">
        <v>199012</v>
      </c>
      <c r="H1190">
        <v>74</v>
      </c>
      <c r="I1190">
        <v>100</v>
      </c>
      <c r="J1190">
        <v>1590</v>
      </c>
      <c r="K1190">
        <v>2706981</v>
      </c>
      <c r="L1190" t="s">
        <v>1458</v>
      </c>
      <c r="M1190" t="str">
        <f>"V26720002"</f>
        <v>V26720002</v>
      </c>
      <c r="N1190" t="str">
        <f>"V26-72-0002"</f>
        <v>V26-72-0002</v>
      </c>
      <c r="O1190" t="str">
        <f>""</f>
        <v/>
      </c>
      <c r="P1190" t="s">
        <v>1567</v>
      </c>
      <c r="Q1190" t="str">
        <f>"4046001370090"</f>
        <v>4046001370090</v>
      </c>
      <c r="S1190" t="s">
        <v>1456</v>
      </c>
      <c r="T1190" s="1" t="s">
        <v>1571</v>
      </c>
      <c r="U1190">
        <v>2394</v>
      </c>
      <c r="V1190" t="s">
        <v>1073</v>
      </c>
      <c r="W1190" t="s">
        <v>1077</v>
      </c>
      <c r="X1190" t="s">
        <v>1615</v>
      </c>
      <c r="Y1190" t="s">
        <v>1078</v>
      </c>
    </row>
    <row r="1191" spans="1:25">
      <c r="A1191">
        <v>13529</v>
      </c>
      <c r="B1191" t="s">
        <v>25</v>
      </c>
      <c r="C1191" t="str">
        <f t="shared" si="37"/>
        <v>INTEGRA Saloon</v>
      </c>
      <c r="D1191" t="str">
        <f t="shared" si="36"/>
        <v>1.6</v>
      </c>
      <c r="E1191" t="s">
        <v>26</v>
      </c>
      <c r="F1191">
        <v>198501</v>
      </c>
      <c r="G1191">
        <v>199012</v>
      </c>
      <c r="H1191">
        <v>74</v>
      </c>
      <c r="I1191">
        <v>100</v>
      </c>
      <c r="J1191">
        <v>1590</v>
      </c>
      <c r="K1191">
        <v>3407186</v>
      </c>
      <c r="L1191" t="s">
        <v>1575</v>
      </c>
      <c r="M1191" t="str">
        <f>"3135"</f>
        <v>3135</v>
      </c>
      <c r="N1191" t="str">
        <f>"3135"</f>
        <v>3135</v>
      </c>
      <c r="O1191" t="str">
        <f>""</f>
        <v/>
      </c>
      <c r="P1191" t="s">
        <v>1567</v>
      </c>
      <c r="Q1191" t="str">
        <f>""</f>
        <v/>
      </c>
      <c r="T1191" s="1" t="s">
        <v>1568</v>
      </c>
      <c r="U1191">
        <v>2394</v>
      </c>
      <c r="V1191" t="s">
        <v>1073</v>
      </c>
      <c r="W1191" t="s">
        <v>1077</v>
      </c>
      <c r="X1191" t="s">
        <v>1615</v>
      </c>
      <c r="Y1191" t="s">
        <v>1078</v>
      </c>
    </row>
    <row r="1192" spans="1:25">
      <c r="A1192">
        <v>13529</v>
      </c>
      <c r="B1192" t="s">
        <v>25</v>
      </c>
      <c r="C1192" t="str">
        <f t="shared" si="37"/>
        <v>INTEGRA Saloon</v>
      </c>
      <c r="D1192" t="str">
        <f t="shared" si="36"/>
        <v>1.6</v>
      </c>
      <c r="E1192" t="s">
        <v>26</v>
      </c>
      <c r="F1192">
        <v>198501</v>
      </c>
      <c r="G1192">
        <v>199012</v>
      </c>
      <c r="H1192">
        <v>74</v>
      </c>
      <c r="I1192">
        <v>100</v>
      </c>
      <c r="J1192">
        <v>1590</v>
      </c>
      <c r="K1192">
        <v>3032566</v>
      </c>
      <c r="L1192" t="s">
        <v>33</v>
      </c>
      <c r="M1192" t="str">
        <f>"J4864000"</f>
        <v>J4864000</v>
      </c>
      <c r="N1192" t="str">
        <f>"J4864000"</f>
        <v>J4864000</v>
      </c>
      <c r="O1192" t="str">
        <f>""</f>
        <v/>
      </c>
      <c r="P1192" t="s">
        <v>1154</v>
      </c>
      <c r="Q1192" t="str">
        <f>"8711768066376"</f>
        <v>8711768066376</v>
      </c>
      <c r="S1192" t="s">
        <v>1155</v>
      </c>
      <c r="T1192" s="1" t="s">
        <v>1156</v>
      </c>
      <c r="U1192">
        <v>2462</v>
      </c>
      <c r="V1192" t="s">
        <v>1154</v>
      </c>
      <c r="W1192" t="s">
        <v>210</v>
      </c>
      <c r="X1192" t="s">
        <v>497</v>
      </c>
      <c r="Y1192" t="s">
        <v>1154</v>
      </c>
    </row>
    <row r="1193" spans="1:25">
      <c r="A1193">
        <v>13529</v>
      </c>
      <c r="B1193" t="s">
        <v>25</v>
      </c>
      <c r="C1193" t="str">
        <f t="shared" si="37"/>
        <v>INTEGRA Saloon</v>
      </c>
      <c r="D1193" t="str">
        <f t="shared" si="36"/>
        <v>1.6</v>
      </c>
      <c r="E1193" t="s">
        <v>26</v>
      </c>
      <c r="F1193">
        <v>198501</v>
      </c>
      <c r="G1193">
        <v>199012</v>
      </c>
      <c r="H1193">
        <v>74</v>
      </c>
      <c r="I1193">
        <v>100</v>
      </c>
      <c r="J1193">
        <v>1590</v>
      </c>
      <c r="K1193">
        <v>3964698</v>
      </c>
      <c r="L1193" t="s">
        <v>27</v>
      </c>
      <c r="M1193" t="str">
        <f>"H57502"</f>
        <v>H57502</v>
      </c>
      <c r="N1193" t="str">
        <f>"H575-02"</f>
        <v>H575-02</v>
      </c>
      <c r="O1193" t="str">
        <f>""</f>
        <v/>
      </c>
      <c r="P1193" t="s">
        <v>1154</v>
      </c>
      <c r="Q1193" t="str">
        <f>"8718993218617"</f>
        <v>8718993218617</v>
      </c>
      <c r="R1193" t="s">
        <v>1157</v>
      </c>
      <c r="T1193" s="1" t="s">
        <v>1158</v>
      </c>
      <c r="U1193">
        <v>2462</v>
      </c>
      <c r="V1193" t="s">
        <v>1154</v>
      </c>
      <c r="W1193" t="s">
        <v>210</v>
      </c>
      <c r="X1193" t="s">
        <v>497</v>
      </c>
      <c r="Y1193" t="s">
        <v>1154</v>
      </c>
    </row>
    <row r="1194" spans="1:25">
      <c r="A1194">
        <v>13529</v>
      </c>
      <c r="B1194" t="s">
        <v>25</v>
      </c>
      <c r="C1194" t="str">
        <f t="shared" si="37"/>
        <v>INTEGRA Saloon</v>
      </c>
      <c r="D1194" t="str">
        <f t="shared" ref="D1194:D1257" si="38">"1.6"</f>
        <v>1.6</v>
      </c>
      <c r="E1194" t="s">
        <v>26</v>
      </c>
      <c r="F1194">
        <v>198501</v>
      </c>
      <c r="G1194">
        <v>199012</v>
      </c>
      <c r="H1194">
        <v>74</v>
      </c>
      <c r="I1194">
        <v>100</v>
      </c>
      <c r="J1194">
        <v>1590</v>
      </c>
      <c r="K1194">
        <v>801777</v>
      </c>
      <c r="L1194" t="s">
        <v>231</v>
      </c>
      <c r="M1194" t="str">
        <f>"A02602"</f>
        <v>A02602</v>
      </c>
      <c r="N1194" t="str">
        <f>"A 02 602"</f>
        <v>A 02 602</v>
      </c>
      <c r="O1194" t="str">
        <f>""</f>
        <v/>
      </c>
      <c r="P1194" t="s">
        <v>1159</v>
      </c>
      <c r="Q1194" t="str">
        <f>"8020584109076"</f>
        <v>8020584109076</v>
      </c>
      <c r="S1194" t="s">
        <v>221</v>
      </c>
      <c r="U1194">
        <v>2513</v>
      </c>
      <c r="V1194" t="s">
        <v>1159</v>
      </c>
      <c r="W1194" t="s">
        <v>1130</v>
      </c>
      <c r="X1194" t="s">
        <v>224</v>
      </c>
      <c r="Y1194" t="s">
        <v>261</v>
      </c>
    </row>
    <row r="1195" spans="1:25">
      <c r="A1195">
        <v>13529</v>
      </c>
      <c r="B1195" t="s">
        <v>25</v>
      </c>
      <c r="C1195" t="str">
        <f t="shared" si="37"/>
        <v>INTEGRA Saloon</v>
      </c>
      <c r="D1195" t="str">
        <f t="shared" si="38"/>
        <v>1.6</v>
      </c>
      <c r="E1195" t="s">
        <v>26</v>
      </c>
      <c r="F1195">
        <v>198501</v>
      </c>
      <c r="G1195">
        <v>199012</v>
      </c>
      <c r="H1195">
        <v>74</v>
      </c>
      <c r="I1195">
        <v>100</v>
      </c>
      <c r="J1195">
        <v>1590</v>
      </c>
      <c r="K1195">
        <v>1076805</v>
      </c>
      <c r="L1195" t="s">
        <v>690</v>
      </c>
      <c r="M1195" t="str">
        <f>"8DZ355201601"</f>
        <v>8DZ355201601</v>
      </c>
      <c r="N1195" t="str">
        <f>"8DZ 355 201-601"</f>
        <v>8DZ 355 201-601</v>
      </c>
      <c r="O1195" t="str">
        <f>""</f>
        <v/>
      </c>
      <c r="P1195" t="s">
        <v>1159</v>
      </c>
      <c r="Q1195" t="str">
        <f>"4082300384093"</f>
        <v>4082300384093</v>
      </c>
      <c r="R1195" t="s">
        <v>1160</v>
      </c>
      <c r="S1195" t="s">
        <v>221</v>
      </c>
      <c r="T1195" t="s">
        <v>1161</v>
      </c>
      <c r="U1195">
        <v>2513</v>
      </c>
      <c r="V1195" t="s">
        <v>1159</v>
      </c>
      <c r="W1195" t="s">
        <v>1130</v>
      </c>
      <c r="X1195" t="s">
        <v>224</v>
      </c>
      <c r="Y1195" t="s">
        <v>261</v>
      </c>
    </row>
    <row r="1196" spans="1:25">
      <c r="A1196">
        <v>13529</v>
      </c>
      <c r="B1196" t="s">
        <v>25</v>
      </c>
      <c r="C1196" t="str">
        <f t="shared" si="37"/>
        <v>INTEGRA Saloon</v>
      </c>
      <c r="D1196" t="str">
        <f t="shared" si="38"/>
        <v>1.6</v>
      </c>
      <c r="E1196" t="s">
        <v>26</v>
      </c>
      <c r="F1196">
        <v>198501</v>
      </c>
      <c r="G1196">
        <v>199012</v>
      </c>
      <c r="H1196">
        <v>74</v>
      </c>
      <c r="I1196">
        <v>100</v>
      </c>
      <c r="J1196">
        <v>1590</v>
      </c>
      <c r="K1196">
        <v>1151375</v>
      </c>
      <c r="L1196" t="s">
        <v>698</v>
      </c>
      <c r="M1196" t="str">
        <f>"K0396"</f>
        <v>K0396</v>
      </c>
      <c r="N1196" t="str">
        <f>"K0396"</f>
        <v>K0396</v>
      </c>
      <c r="O1196" t="str">
        <f>"97200 0630"</f>
        <v>97200 0630</v>
      </c>
      <c r="P1196" t="s">
        <v>1159</v>
      </c>
      <c r="Q1196" t="str">
        <f>"4007590215230"</f>
        <v>4007590215230</v>
      </c>
      <c r="R1196" t="s">
        <v>1162</v>
      </c>
      <c r="S1196" t="s">
        <v>221</v>
      </c>
      <c r="T1196" t="s">
        <v>1163</v>
      </c>
      <c r="U1196">
        <v>2513</v>
      </c>
      <c r="V1196" t="s">
        <v>1159</v>
      </c>
      <c r="W1196" t="s">
        <v>1130</v>
      </c>
      <c r="X1196" t="s">
        <v>224</v>
      </c>
      <c r="Y1196" t="s">
        <v>261</v>
      </c>
    </row>
    <row r="1197" spans="1:25">
      <c r="A1197">
        <v>13529</v>
      </c>
      <c r="B1197" t="s">
        <v>25</v>
      </c>
      <c r="C1197" t="str">
        <f t="shared" si="37"/>
        <v>INTEGRA Saloon</v>
      </c>
      <c r="D1197" t="str">
        <f t="shared" si="38"/>
        <v>1.6</v>
      </c>
      <c r="E1197" t="s">
        <v>26</v>
      </c>
      <c r="F1197">
        <v>198501</v>
      </c>
      <c r="G1197">
        <v>199012</v>
      </c>
      <c r="H1197">
        <v>74</v>
      </c>
      <c r="I1197">
        <v>100</v>
      </c>
      <c r="J1197">
        <v>1590</v>
      </c>
      <c r="K1197">
        <v>1637640</v>
      </c>
      <c r="L1197" t="s">
        <v>707</v>
      </c>
      <c r="M1197" t="str">
        <f>"82063000"</f>
        <v>82063000</v>
      </c>
      <c r="N1197" t="str">
        <f>"82063000"</f>
        <v>82063000</v>
      </c>
      <c r="O1197" t="str">
        <f>"97200 0630"</f>
        <v>97200 0630</v>
      </c>
      <c r="P1197" t="s">
        <v>1159</v>
      </c>
      <c r="Q1197" t="str">
        <f>"4019722432927"</f>
        <v>4019722432927</v>
      </c>
      <c r="R1197" t="s">
        <v>1164</v>
      </c>
      <c r="S1197" t="s">
        <v>221</v>
      </c>
      <c r="T1197" t="s">
        <v>1165</v>
      </c>
      <c r="U1197">
        <v>2513</v>
      </c>
      <c r="V1197" t="s">
        <v>1159</v>
      </c>
      <c r="W1197" t="s">
        <v>1130</v>
      </c>
      <c r="X1197" t="s">
        <v>224</v>
      </c>
      <c r="Y1197" t="s">
        <v>261</v>
      </c>
    </row>
    <row r="1198" spans="1:25">
      <c r="A1198">
        <v>13529</v>
      </c>
      <c r="B1198" t="s">
        <v>25</v>
      </c>
      <c r="C1198" t="str">
        <f t="shared" si="37"/>
        <v>INTEGRA Saloon</v>
      </c>
      <c r="D1198" t="str">
        <f t="shared" si="38"/>
        <v>1.6</v>
      </c>
      <c r="E1198" t="s">
        <v>26</v>
      </c>
      <c r="F1198">
        <v>198501</v>
      </c>
      <c r="G1198">
        <v>199012</v>
      </c>
      <c r="H1198">
        <v>74</v>
      </c>
      <c r="I1198">
        <v>100</v>
      </c>
      <c r="J1198">
        <v>1590</v>
      </c>
      <c r="K1198">
        <v>1918756</v>
      </c>
      <c r="L1198" t="s">
        <v>746</v>
      </c>
      <c r="M1198" t="str">
        <f>"MBA1319A"</f>
        <v>MBA1319A</v>
      </c>
      <c r="N1198" t="str">
        <f>"MBA1319A"</f>
        <v>MBA1319A</v>
      </c>
      <c r="O1198" t="str">
        <f>"97200 0630"</f>
        <v>97200 0630</v>
      </c>
      <c r="P1198" t="s">
        <v>1159</v>
      </c>
      <c r="Q1198" t="str">
        <f>"5028740769389"</f>
        <v>5028740769389</v>
      </c>
      <c r="R1198" t="s">
        <v>1162</v>
      </c>
      <c r="S1198" t="s">
        <v>221</v>
      </c>
      <c r="T1198" t="s">
        <v>1166</v>
      </c>
      <c r="U1198">
        <v>2513</v>
      </c>
      <c r="V1198" t="s">
        <v>1159</v>
      </c>
      <c r="W1198" t="s">
        <v>1130</v>
      </c>
      <c r="X1198" t="s">
        <v>224</v>
      </c>
      <c r="Y1198" t="s">
        <v>261</v>
      </c>
    </row>
    <row r="1199" spans="1:25">
      <c r="A1199">
        <v>13529</v>
      </c>
      <c r="B1199" t="s">
        <v>25</v>
      </c>
      <c r="C1199" t="str">
        <f t="shared" si="37"/>
        <v>INTEGRA Saloon</v>
      </c>
      <c r="D1199" t="str">
        <f t="shared" si="38"/>
        <v>1.6</v>
      </c>
      <c r="E1199" t="s">
        <v>26</v>
      </c>
      <c r="F1199">
        <v>198501</v>
      </c>
      <c r="G1199">
        <v>199012</v>
      </c>
      <c r="H1199">
        <v>74</v>
      </c>
      <c r="I1199">
        <v>100</v>
      </c>
      <c r="J1199">
        <v>1590</v>
      </c>
      <c r="K1199">
        <v>4478670</v>
      </c>
      <c r="L1199" t="s">
        <v>909</v>
      </c>
      <c r="M1199" t="str">
        <f>"8DZ355201601"</f>
        <v>8DZ355201601</v>
      </c>
      <c r="N1199" t="str">
        <f>"8DZ 355 201-601"</f>
        <v>8DZ 355 201-601</v>
      </c>
      <c r="O1199" t="str">
        <f>"K0396"</f>
        <v>K0396</v>
      </c>
      <c r="P1199" t="s">
        <v>1159</v>
      </c>
      <c r="Q1199" t="str">
        <f>"4082300384093"</f>
        <v>4082300384093</v>
      </c>
      <c r="R1199" t="s">
        <v>1160</v>
      </c>
      <c r="S1199" t="s">
        <v>221</v>
      </c>
      <c r="T1199" t="s">
        <v>1161</v>
      </c>
      <c r="U1199">
        <v>2513</v>
      </c>
      <c r="V1199" t="s">
        <v>1159</v>
      </c>
      <c r="W1199" t="s">
        <v>1130</v>
      </c>
      <c r="X1199" t="s">
        <v>224</v>
      </c>
      <c r="Y1199" t="s">
        <v>261</v>
      </c>
    </row>
    <row r="1200" spans="1:25">
      <c r="A1200">
        <v>13529</v>
      </c>
      <c r="B1200" t="s">
        <v>25</v>
      </c>
      <c r="C1200" t="str">
        <f t="shared" si="37"/>
        <v>INTEGRA Saloon</v>
      </c>
      <c r="D1200" t="str">
        <f t="shared" si="38"/>
        <v>1.6</v>
      </c>
      <c r="E1200" t="s">
        <v>26</v>
      </c>
      <c r="F1200">
        <v>198501</v>
      </c>
      <c r="G1200">
        <v>199012</v>
      </c>
      <c r="H1200">
        <v>74</v>
      </c>
      <c r="I1200">
        <v>100</v>
      </c>
      <c r="J1200">
        <v>1590</v>
      </c>
      <c r="K1200">
        <v>747471</v>
      </c>
      <c r="L1200" t="s">
        <v>1167</v>
      </c>
      <c r="M1200" t="str">
        <f>"TOPTECATF1100"</f>
        <v>TOPTECATF1100</v>
      </c>
      <c r="N1200" t="str">
        <f>"TOP TEC ATF 1100"</f>
        <v>TOP TEC ATF 1100</v>
      </c>
      <c r="O1200" t="str">
        <f>""</f>
        <v/>
      </c>
      <c r="P1200" t="s">
        <v>1168</v>
      </c>
      <c r="Q1200" t="str">
        <f>""</f>
        <v/>
      </c>
      <c r="S1200" t="s">
        <v>1169</v>
      </c>
      <c r="U1200">
        <v>3069</v>
      </c>
      <c r="V1200" t="s">
        <v>1170</v>
      </c>
      <c r="W1200" t="s">
        <v>1171</v>
      </c>
      <c r="X1200" t="s">
        <v>1172</v>
      </c>
      <c r="Y1200" t="s">
        <v>1172</v>
      </c>
    </row>
    <row r="1201" spans="1:25">
      <c r="A1201">
        <v>13529</v>
      </c>
      <c r="B1201" t="s">
        <v>25</v>
      </c>
      <c r="C1201" t="str">
        <f t="shared" si="37"/>
        <v>INTEGRA Saloon</v>
      </c>
      <c r="D1201" t="str">
        <f t="shared" si="38"/>
        <v>1.6</v>
      </c>
      <c r="E1201" t="s">
        <v>26</v>
      </c>
      <c r="F1201">
        <v>198501</v>
      </c>
      <c r="G1201">
        <v>199012</v>
      </c>
      <c r="H1201">
        <v>74</v>
      </c>
      <c r="I1201">
        <v>100</v>
      </c>
      <c r="J1201">
        <v>1590</v>
      </c>
      <c r="K1201">
        <v>750267</v>
      </c>
      <c r="L1201" t="s">
        <v>1173</v>
      </c>
      <c r="M1201" t="str">
        <f>"GETRIEBEOLATF55"</f>
        <v>GETRIEBEOLATF55</v>
      </c>
      <c r="N1201" t="str">
        <f>"Getriebeol ATF 55"</f>
        <v>Getriebeol ATF 55</v>
      </c>
      <c r="O1201" t="str">
        <f>""</f>
        <v/>
      </c>
      <c r="P1201" t="s">
        <v>1174</v>
      </c>
      <c r="Q1201" t="str">
        <f>""</f>
        <v/>
      </c>
      <c r="S1201" t="s">
        <v>1175</v>
      </c>
      <c r="U1201">
        <v>3069</v>
      </c>
      <c r="V1201" t="s">
        <v>1170</v>
      </c>
      <c r="W1201" t="s">
        <v>1171</v>
      </c>
      <c r="X1201" t="s">
        <v>1172</v>
      </c>
      <c r="Y1201" t="s">
        <v>1172</v>
      </c>
    </row>
    <row r="1202" spans="1:25">
      <c r="A1202">
        <v>13529</v>
      </c>
      <c r="B1202" t="s">
        <v>25</v>
      </c>
      <c r="C1202" t="str">
        <f t="shared" si="37"/>
        <v>INTEGRA Saloon</v>
      </c>
      <c r="D1202" t="str">
        <f t="shared" si="38"/>
        <v>1.6</v>
      </c>
      <c r="E1202" t="s">
        <v>26</v>
      </c>
      <c r="F1202">
        <v>198501</v>
      </c>
      <c r="G1202">
        <v>199012</v>
      </c>
      <c r="H1202">
        <v>74</v>
      </c>
      <c r="I1202">
        <v>100</v>
      </c>
      <c r="J1202">
        <v>1590</v>
      </c>
      <c r="K1202">
        <v>877949</v>
      </c>
      <c r="L1202" t="s">
        <v>1176</v>
      </c>
      <c r="M1202" t="str">
        <f>"51800"</f>
        <v>51800</v>
      </c>
      <c r="N1202" t="str">
        <f>"51800"</f>
        <v>51800</v>
      </c>
      <c r="O1202" t="str">
        <f>""</f>
        <v/>
      </c>
      <c r="P1202" t="s">
        <v>1170</v>
      </c>
      <c r="Q1202" t="str">
        <f>""</f>
        <v/>
      </c>
      <c r="S1202" t="s">
        <v>1175</v>
      </c>
      <c r="U1202">
        <v>3069</v>
      </c>
      <c r="V1202" t="s">
        <v>1170</v>
      </c>
      <c r="W1202" t="s">
        <v>1171</v>
      </c>
      <c r="X1202" t="s">
        <v>1172</v>
      </c>
      <c r="Y1202" t="s">
        <v>1172</v>
      </c>
    </row>
    <row r="1203" spans="1:25">
      <c r="A1203">
        <v>13529</v>
      </c>
      <c r="B1203" t="s">
        <v>25</v>
      </c>
      <c r="C1203" t="str">
        <f t="shared" si="37"/>
        <v>INTEGRA Saloon</v>
      </c>
      <c r="D1203" t="str">
        <f t="shared" si="38"/>
        <v>1.6</v>
      </c>
      <c r="E1203" t="s">
        <v>26</v>
      </c>
      <c r="F1203">
        <v>198501</v>
      </c>
      <c r="G1203">
        <v>199012</v>
      </c>
      <c r="H1203">
        <v>74</v>
      </c>
      <c r="I1203">
        <v>100</v>
      </c>
      <c r="J1203">
        <v>1590</v>
      </c>
      <c r="K1203">
        <v>878119</v>
      </c>
      <c r="L1203" t="s">
        <v>1176</v>
      </c>
      <c r="M1203" t="str">
        <f>"51810"</f>
        <v>51810</v>
      </c>
      <c r="N1203" t="str">
        <f>"51810"</f>
        <v>51810</v>
      </c>
      <c r="O1203" t="str">
        <f>""</f>
        <v/>
      </c>
      <c r="P1203" t="s">
        <v>1170</v>
      </c>
      <c r="Q1203" t="str">
        <f>""</f>
        <v/>
      </c>
      <c r="S1203" t="s">
        <v>1175</v>
      </c>
      <c r="U1203">
        <v>3069</v>
      </c>
      <c r="V1203" t="s">
        <v>1170</v>
      </c>
      <c r="W1203" t="s">
        <v>1171</v>
      </c>
      <c r="X1203" t="s">
        <v>1172</v>
      </c>
      <c r="Y1203" t="s">
        <v>1172</v>
      </c>
    </row>
    <row r="1204" spans="1:25">
      <c r="A1204">
        <v>13529</v>
      </c>
      <c r="B1204" t="s">
        <v>25</v>
      </c>
      <c r="C1204" t="str">
        <f t="shared" si="37"/>
        <v>INTEGRA Saloon</v>
      </c>
      <c r="D1204" t="str">
        <f t="shared" si="38"/>
        <v>1.6</v>
      </c>
      <c r="E1204" t="s">
        <v>26</v>
      </c>
      <c r="F1204">
        <v>198501</v>
      </c>
      <c r="G1204">
        <v>199012</v>
      </c>
      <c r="H1204">
        <v>74</v>
      </c>
      <c r="I1204">
        <v>100</v>
      </c>
      <c r="J1204">
        <v>1590</v>
      </c>
      <c r="K1204">
        <v>878124</v>
      </c>
      <c r="L1204" t="s">
        <v>1176</v>
      </c>
      <c r="M1204" t="str">
        <f>"51820"</f>
        <v>51820</v>
      </c>
      <c r="N1204" t="str">
        <f>"51820"</f>
        <v>51820</v>
      </c>
      <c r="O1204" t="str">
        <f>""</f>
        <v/>
      </c>
      <c r="P1204" t="s">
        <v>1170</v>
      </c>
      <c r="Q1204" t="str">
        <f>""</f>
        <v/>
      </c>
      <c r="S1204" t="s">
        <v>1175</v>
      </c>
      <c r="U1204">
        <v>3069</v>
      </c>
      <c r="V1204" t="s">
        <v>1170</v>
      </c>
      <c r="W1204" t="s">
        <v>1171</v>
      </c>
      <c r="X1204" t="s">
        <v>1172</v>
      </c>
      <c r="Y1204" t="s">
        <v>1172</v>
      </c>
    </row>
    <row r="1205" spans="1:25">
      <c r="A1205">
        <v>13529</v>
      </c>
      <c r="B1205" t="s">
        <v>25</v>
      </c>
      <c r="C1205" t="str">
        <f t="shared" si="37"/>
        <v>INTEGRA Saloon</v>
      </c>
      <c r="D1205" t="str">
        <f t="shared" si="38"/>
        <v>1.6</v>
      </c>
      <c r="E1205" t="s">
        <v>26</v>
      </c>
      <c r="F1205">
        <v>198501</v>
      </c>
      <c r="G1205">
        <v>199012</v>
      </c>
      <c r="H1205">
        <v>74</v>
      </c>
      <c r="I1205">
        <v>100</v>
      </c>
      <c r="J1205">
        <v>1590</v>
      </c>
      <c r="K1205">
        <v>878129</v>
      </c>
      <c r="L1205" t="s">
        <v>1176</v>
      </c>
      <c r="M1205" t="str">
        <f>"51830"</f>
        <v>51830</v>
      </c>
      <c r="N1205" t="str">
        <f>"51830"</f>
        <v>51830</v>
      </c>
      <c r="O1205" t="str">
        <f>""</f>
        <v/>
      </c>
      <c r="P1205" t="s">
        <v>1170</v>
      </c>
      <c r="Q1205" t="str">
        <f>""</f>
        <v/>
      </c>
      <c r="S1205" t="s">
        <v>1175</v>
      </c>
      <c r="U1205">
        <v>3069</v>
      </c>
      <c r="V1205" t="s">
        <v>1170</v>
      </c>
      <c r="W1205" t="s">
        <v>1171</v>
      </c>
      <c r="X1205" t="s">
        <v>1172</v>
      </c>
      <c r="Y1205" t="s">
        <v>1172</v>
      </c>
    </row>
    <row r="1206" spans="1:25">
      <c r="A1206">
        <v>13529</v>
      </c>
      <c r="B1206" t="s">
        <v>25</v>
      </c>
      <c r="C1206" t="str">
        <f t="shared" si="37"/>
        <v>INTEGRA Saloon</v>
      </c>
      <c r="D1206" t="str">
        <f t="shared" si="38"/>
        <v>1.6</v>
      </c>
      <c r="E1206" t="s">
        <v>26</v>
      </c>
      <c r="F1206">
        <v>198501</v>
      </c>
      <c r="G1206">
        <v>199012</v>
      </c>
      <c r="H1206">
        <v>74</v>
      </c>
      <c r="I1206">
        <v>100</v>
      </c>
      <c r="J1206">
        <v>1590</v>
      </c>
      <c r="K1206">
        <v>2738720</v>
      </c>
      <c r="L1206" t="s">
        <v>1177</v>
      </c>
      <c r="M1206" t="str">
        <f>"3001"</f>
        <v>3001</v>
      </c>
      <c r="N1206" t="str">
        <f>"3001"</f>
        <v>3001</v>
      </c>
      <c r="O1206" t="str">
        <f>""</f>
        <v/>
      </c>
      <c r="P1206" t="s">
        <v>1178</v>
      </c>
      <c r="Q1206" t="str">
        <f>""</f>
        <v/>
      </c>
      <c r="S1206" t="s">
        <v>1175</v>
      </c>
      <c r="U1206">
        <v>3069</v>
      </c>
      <c r="V1206" t="s">
        <v>1170</v>
      </c>
      <c r="W1206" t="s">
        <v>1171</v>
      </c>
      <c r="X1206" t="s">
        <v>1172</v>
      </c>
      <c r="Y1206" t="s">
        <v>1172</v>
      </c>
    </row>
    <row r="1207" spans="1:25">
      <c r="A1207">
        <v>13529</v>
      </c>
      <c r="B1207" t="s">
        <v>25</v>
      </c>
      <c r="C1207" t="str">
        <f t="shared" si="37"/>
        <v>INTEGRA Saloon</v>
      </c>
      <c r="D1207" t="str">
        <f t="shared" si="38"/>
        <v>1.6</v>
      </c>
      <c r="E1207" t="s">
        <v>26</v>
      </c>
      <c r="F1207">
        <v>198501</v>
      </c>
      <c r="G1207">
        <v>199012</v>
      </c>
      <c r="H1207">
        <v>74</v>
      </c>
      <c r="I1207">
        <v>100</v>
      </c>
      <c r="J1207">
        <v>1590</v>
      </c>
      <c r="K1207">
        <v>2738722</v>
      </c>
      <c r="L1207" t="s">
        <v>1177</v>
      </c>
      <c r="M1207" t="str">
        <f>"3003"</f>
        <v>3003</v>
      </c>
      <c r="N1207" t="str">
        <f>"3003"</f>
        <v>3003</v>
      </c>
      <c r="O1207" t="str">
        <f>""</f>
        <v/>
      </c>
      <c r="P1207" t="s">
        <v>1179</v>
      </c>
      <c r="Q1207" t="str">
        <f>""</f>
        <v/>
      </c>
      <c r="S1207" t="s">
        <v>1175</v>
      </c>
      <c r="U1207">
        <v>3069</v>
      </c>
      <c r="V1207" t="s">
        <v>1170</v>
      </c>
      <c r="W1207" t="s">
        <v>1171</v>
      </c>
      <c r="X1207" t="s">
        <v>1172</v>
      </c>
      <c r="Y1207" t="s">
        <v>1172</v>
      </c>
    </row>
    <row r="1208" spans="1:25">
      <c r="A1208">
        <v>13529</v>
      </c>
      <c r="B1208" t="s">
        <v>25</v>
      </c>
      <c r="C1208" t="str">
        <f t="shared" si="37"/>
        <v>INTEGRA Saloon</v>
      </c>
      <c r="D1208" t="str">
        <f t="shared" si="38"/>
        <v>1.6</v>
      </c>
      <c r="E1208" t="s">
        <v>26</v>
      </c>
      <c r="F1208">
        <v>198501</v>
      </c>
      <c r="G1208">
        <v>199012</v>
      </c>
      <c r="H1208">
        <v>74</v>
      </c>
      <c r="I1208">
        <v>100</v>
      </c>
      <c r="J1208">
        <v>1590</v>
      </c>
      <c r="K1208">
        <v>2739485</v>
      </c>
      <c r="L1208" t="s">
        <v>1180</v>
      </c>
      <c r="M1208" t="str">
        <f>"3001"</f>
        <v>3001</v>
      </c>
      <c r="N1208" t="str">
        <f>"3001"</f>
        <v>3001</v>
      </c>
      <c r="O1208" t="str">
        <f>""</f>
        <v/>
      </c>
      <c r="P1208" t="s">
        <v>1178</v>
      </c>
      <c r="Q1208" t="str">
        <f>""</f>
        <v/>
      </c>
      <c r="S1208" t="s">
        <v>1175</v>
      </c>
      <c r="U1208">
        <v>3069</v>
      </c>
      <c r="V1208" t="s">
        <v>1170</v>
      </c>
      <c r="W1208" t="s">
        <v>1171</v>
      </c>
      <c r="X1208" t="s">
        <v>1172</v>
      </c>
      <c r="Y1208" t="s">
        <v>1172</v>
      </c>
    </row>
    <row r="1209" spans="1:25">
      <c r="A1209">
        <v>13529</v>
      </c>
      <c r="B1209" t="s">
        <v>25</v>
      </c>
      <c r="C1209" t="str">
        <f t="shared" si="37"/>
        <v>INTEGRA Saloon</v>
      </c>
      <c r="D1209" t="str">
        <f t="shared" si="38"/>
        <v>1.6</v>
      </c>
      <c r="E1209" t="s">
        <v>26</v>
      </c>
      <c r="F1209">
        <v>198501</v>
      </c>
      <c r="G1209">
        <v>199012</v>
      </c>
      <c r="H1209">
        <v>74</v>
      </c>
      <c r="I1209">
        <v>100</v>
      </c>
      <c r="J1209">
        <v>1590</v>
      </c>
      <c r="K1209">
        <v>2739487</v>
      </c>
      <c r="L1209" t="s">
        <v>1180</v>
      </c>
      <c r="M1209" t="str">
        <f>"3003"</f>
        <v>3003</v>
      </c>
      <c r="N1209" t="str">
        <f>"3003"</f>
        <v>3003</v>
      </c>
      <c r="O1209" t="str">
        <f>""</f>
        <v/>
      </c>
      <c r="P1209" t="s">
        <v>1179</v>
      </c>
      <c r="Q1209" t="str">
        <f>""</f>
        <v/>
      </c>
      <c r="S1209" t="s">
        <v>1175</v>
      </c>
      <c r="U1209">
        <v>3069</v>
      </c>
      <c r="V1209" t="s">
        <v>1170</v>
      </c>
      <c r="W1209" t="s">
        <v>1171</v>
      </c>
      <c r="X1209" t="s">
        <v>1172</v>
      </c>
      <c r="Y1209" t="s">
        <v>1172</v>
      </c>
    </row>
    <row r="1210" spans="1:25">
      <c r="A1210">
        <v>13529</v>
      </c>
      <c r="B1210" t="s">
        <v>25</v>
      </c>
      <c r="C1210" t="str">
        <f t="shared" si="37"/>
        <v>INTEGRA Saloon</v>
      </c>
      <c r="D1210" t="str">
        <f t="shared" si="38"/>
        <v>1.6</v>
      </c>
      <c r="E1210" t="s">
        <v>26</v>
      </c>
      <c r="F1210">
        <v>198501</v>
      </c>
      <c r="G1210">
        <v>199012</v>
      </c>
      <c r="H1210">
        <v>74</v>
      </c>
      <c r="I1210">
        <v>100</v>
      </c>
      <c r="J1210">
        <v>1590</v>
      </c>
      <c r="K1210">
        <v>2861530</v>
      </c>
      <c r="L1210" t="s">
        <v>1181</v>
      </c>
      <c r="M1210" t="str">
        <f>"0223"</f>
        <v>0223</v>
      </c>
      <c r="N1210" t="str">
        <f>"0223"</f>
        <v>0223</v>
      </c>
      <c r="O1210" t="str">
        <f>""</f>
        <v/>
      </c>
      <c r="P1210" t="s">
        <v>1174</v>
      </c>
      <c r="Q1210" t="str">
        <f>""</f>
        <v/>
      </c>
      <c r="S1210" t="s">
        <v>1175</v>
      </c>
      <c r="U1210">
        <v>3069</v>
      </c>
      <c r="V1210" t="s">
        <v>1170</v>
      </c>
      <c r="W1210" t="s">
        <v>1171</v>
      </c>
      <c r="X1210" t="s">
        <v>1172</v>
      </c>
      <c r="Y1210" t="s">
        <v>1172</v>
      </c>
    </row>
    <row r="1211" spans="1:25">
      <c r="A1211">
        <v>13529</v>
      </c>
      <c r="B1211" t="s">
        <v>25</v>
      </c>
      <c r="C1211" t="str">
        <f t="shared" si="37"/>
        <v>INTEGRA Saloon</v>
      </c>
      <c r="D1211" t="str">
        <f t="shared" si="38"/>
        <v>1.6</v>
      </c>
      <c r="E1211" t="s">
        <v>26</v>
      </c>
      <c r="F1211">
        <v>198501</v>
      </c>
      <c r="G1211">
        <v>199012</v>
      </c>
      <c r="H1211">
        <v>74</v>
      </c>
      <c r="I1211">
        <v>100</v>
      </c>
      <c r="J1211">
        <v>1590</v>
      </c>
      <c r="K1211">
        <v>2862030</v>
      </c>
      <c r="L1211" t="s">
        <v>1181</v>
      </c>
      <c r="M1211" t="str">
        <f>"TRANSMAXDEXIIIMULTI"</f>
        <v>TRANSMAXDEXIIIMULTI</v>
      </c>
      <c r="N1211" t="str">
        <f>"Transmax DexIII Multi"</f>
        <v>Transmax DexIII Multi</v>
      </c>
      <c r="O1211" t="str">
        <f>""</f>
        <v/>
      </c>
      <c r="P1211" t="s">
        <v>1182</v>
      </c>
      <c r="Q1211" t="str">
        <f>""</f>
        <v/>
      </c>
      <c r="S1211" t="s">
        <v>1183</v>
      </c>
      <c r="U1211">
        <v>3069</v>
      </c>
      <c r="V1211" t="s">
        <v>1170</v>
      </c>
      <c r="W1211" t="s">
        <v>1171</v>
      </c>
      <c r="X1211" t="s">
        <v>1172</v>
      </c>
      <c r="Y1211" t="s">
        <v>1172</v>
      </c>
    </row>
    <row r="1212" spans="1:25">
      <c r="A1212">
        <v>13529</v>
      </c>
      <c r="B1212" t="s">
        <v>25</v>
      </c>
      <c r="C1212" t="str">
        <f t="shared" si="37"/>
        <v>INTEGRA Saloon</v>
      </c>
      <c r="D1212" t="str">
        <f t="shared" si="38"/>
        <v>1.6</v>
      </c>
      <c r="E1212" t="s">
        <v>26</v>
      </c>
      <c r="F1212">
        <v>198501</v>
      </c>
      <c r="G1212">
        <v>199012</v>
      </c>
      <c r="H1212">
        <v>74</v>
      </c>
      <c r="I1212">
        <v>100</v>
      </c>
      <c r="J1212">
        <v>1590</v>
      </c>
      <c r="K1212">
        <v>3634198</v>
      </c>
      <c r="L1212" t="s">
        <v>1184</v>
      </c>
      <c r="M1212" t="str">
        <f>"VTATF2D"</f>
        <v>VTATF2D</v>
      </c>
      <c r="N1212" t="str">
        <f>"VTATF2D"</f>
        <v>VTATF2D</v>
      </c>
      <c r="O1212" t="str">
        <f>""</f>
        <v/>
      </c>
      <c r="P1212" t="s">
        <v>1168</v>
      </c>
      <c r="Q1212" t="str">
        <f>""</f>
        <v/>
      </c>
      <c r="S1212" t="s">
        <v>1175</v>
      </c>
      <c r="U1212">
        <v>3069</v>
      </c>
      <c r="V1212" t="s">
        <v>1170</v>
      </c>
      <c r="W1212" t="s">
        <v>1171</v>
      </c>
      <c r="X1212" t="s">
        <v>1172</v>
      </c>
      <c r="Y1212" t="s">
        <v>1172</v>
      </c>
    </row>
    <row r="1213" spans="1:25">
      <c r="A1213">
        <v>13529</v>
      </c>
      <c r="B1213" t="s">
        <v>25</v>
      </c>
      <c r="C1213" t="str">
        <f t="shared" si="37"/>
        <v>INTEGRA Saloon</v>
      </c>
      <c r="D1213" t="str">
        <f t="shared" si="38"/>
        <v>1.6</v>
      </c>
      <c r="E1213" t="s">
        <v>26</v>
      </c>
      <c r="F1213">
        <v>198501</v>
      </c>
      <c r="G1213">
        <v>199012</v>
      </c>
      <c r="H1213">
        <v>74</v>
      </c>
      <c r="I1213">
        <v>100</v>
      </c>
      <c r="J1213">
        <v>1590</v>
      </c>
      <c r="K1213">
        <v>3748585</v>
      </c>
      <c r="L1213" t="s">
        <v>1185</v>
      </c>
      <c r="M1213" t="str">
        <f>"E113650"</f>
        <v>E113650</v>
      </c>
      <c r="N1213" t="str">
        <f>"E113650"</f>
        <v>E113650</v>
      </c>
      <c r="O1213" t="str">
        <f>""</f>
        <v/>
      </c>
      <c r="P1213" t="s">
        <v>1186</v>
      </c>
      <c r="Q1213" t="str">
        <f>""</f>
        <v/>
      </c>
      <c r="S1213" t="s">
        <v>1175</v>
      </c>
      <c r="U1213">
        <v>3069</v>
      </c>
      <c r="V1213" t="s">
        <v>1170</v>
      </c>
      <c r="W1213" t="s">
        <v>1171</v>
      </c>
      <c r="X1213" t="s">
        <v>1172</v>
      </c>
      <c r="Y1213" t="s">
        <v>1172</v>
      </c>
    </row>
    <row r="1214" spans="1:25">
      <c r="A1214">
        <v>13529</v>
      </c>
      <c r="B1214" t="s">
        <v>25</v>
      </c>
      <c r="C1214" t="str">
        <f t="shared" si="37"/>
        <v>INTEGRA Saloon</v>
      </c>
      <c r="D1214" t="str">
        <f t="shared" si="38"/>
        <v>1.6</v>
      </c>
      <c r="E1214" t="s">
        <v>26</v>
      </c>
      <c r="F1214">
        <v>198501</v>
      </c>
      <c r="G1214">
        <v>199012</v>
      </c>
      <c r="H1214">
        <v>74</v>
      </c>
      <c r="I1214">
        <v>100</v>
      </c>
      <c r="J1214">
        <v>1590</v>
      </c>
      <c r="K1214">
        <v>3748607</v>
      </c>
      <c r="L1214" t="s">
        <v>1185</v>
      </c>
      <c r="M1214" t="str">
        <f>"E113659"</f>
        <v>E113659</v>
      </c>
      <c r="N1214" t="str">
        <f>"E113659"</f>
        <v>E113659</v>
      </c>
      <c r="O1214" t="str">
        <f>""</f>
        <v/>
      </c>
      <c r="P1214" t="s">
        <v>1179</v>
      </c>
      <c r="Q1214" t="str">
        <f>""</f>
        <v/>
      </c>
      <c r="S1214" t="s">
        <v>1175</v>
      </c>
      <c r="U1214">
        <v>3069</v>
      </c>
      <c r="V1214" t="s">
        <v>1170</v>
      </c>
      <c r="W1214" t="s">
        <v>1171</v>
      </c>
      <c r="X1214" t="s">
        <v>1172</v>
      </c>
      <c r="Y1214" t="s">
        <v>1172</v>
      </c>
    </row>
    <row r="1215" spans="1:25">
      <c r="A1215">
        <v>13529</v>
      </c>
      <c r="B1215" t="s">
        <v>25</v>
      </c>
      <c r="C1215" t="str">
        <f t="shared" si="37"/>
        <v>INTEGRA Saloon</v>
      </c>
      <c r="D1215" t="str">
        <f t="shared" si="38"/>
        <v>1.6</v>
      </c>
      <c r="E1215" t="s">
        <v>26</v>
      </c>
      <c r="F1215">
        <v>198501</v>
      </c>
      <c r="G1215">
        <v>199012</v>
      </c>
      <c r="H1215">
        <v>74</v>
      </c>
      <c r="I1215">
        <v>100</v>
      </c>
      <c r="J1215">
        <v>1590</v>
      </c>
      <c r="K1215">
        <v>3748629</v>
      </c>
      <c r="L1215" t="s">
        <v>1185</v>
      </c>
      <c r="M1215" t="str">
        <f>"E113665"</f>
        <v>E113665</v>
      </c>
      <c r="N1215" t="str">
        <f>"E113665"</f>
        <v>E113665</v>
      </c>
      <c r="O1215" t="str">
        <f>""</f>
        <v/>
      </c>
      <c r="P1215" t="s">
        <v>1179</v>
      </c>
      <c r="Q1215" t="str">
        <f>""</f>
        <v/>
      </c>
      <c r="S1215" t="s">
        <v>1175</v>
      </c>
      <c r="U1215">
        <v>3069</v>
      </c>
      <c r="V1215" t="s">
        <v>1170</v>
      </c>
      <c r="W1215" t="s">
        <v>1171</v>
      </c>
      <c r="X1215" t="s">
        <v>1172</v>
      </c>
      <c r="Y1215" t="s">
        <v>1172</v>
      </c>
    </row>
    <row r="1216" spans="1:25">
      <c r="A1216">
        <v>13529</v>
      </c>
      <c r="B1216" t="s">
        <v>25</v>
      </c>
      <c r="C1216" t="str">
        <f t="shared" si="37"/>
        <v>INTEGRA Saloon</v>
      </c>
      <c r="D1216" t="str">
        <f t="shared" si="38"/>
        <v>1.6</v>
      </c>
      <c r="E1216" t="s">
        <v>26</v>
      </c>
      <c r="F1216">
        <v>198501</v>
      </c>
      <c r="G1216">
        <v>199012</v>
      </c>
      <c r="H1216">
        <v>74</v>
      </c>
      <c r="I1216">
        <v>100</v>
      </c>
      <c r="J1216">
        <v>1590</v>
      </c>
      <c r="K1216">
        <v>3920257</v>
      </c>
      <c r="L1216" t="s">
        <v>1187</v>
      </c>
      <c r="M1216" t="str">
        <f>"26800"</f>
        <v>26800</v>
      </c>
      <c r="N1216" t="str">
        <f>"26800"</f>
        <v>26800</v>
      </c>
      <c r="O1216" t="str">
        <f>""</f>
        <v/>
      </c>
      <c r="P1216" t="s">
        <v>1188</v>
      </c>
      <c r="Q1216" t="str">
        <f>""</f>
        <v/>
      </c>
      <c r="S1216" t="s">
        <v>1189</v>
      </c>
      <c r="U1216">
        <v>3069</v>
      </c>
      <c r="V1216" t="s">
        <v>1170</v>
      </c>
      <c r="W1216" t="s">
        <v>1171</v>
      </c>
      <c r="X1216" t="s">
        <v>1172</v>
      </c>
      <c r="Y1216" t="s">
        <v>1172</v>
      </c>
    </row>
    <row r="1217" spans="1:25">
      <c r="A1217">
        <v>13529</v>
      </c>
      <c r="B1217" t="s">
        <v>25</v>
      </c>
      <c r="C1217" t="str">
        <f t="shared" si="37"/>
        <v>INTEGRA Saloon</v>
      </c>
      <c r="D1217" t="str">
        <f t="shared" si="38"/>
        <v>1.6</v>
      </c>
      <c r="E1217" t="s">
        <v>26</v>
      </c>
      <c r="F1217">
        <v>198501</v>
      </c>
      <c r="G1217">
        <v>199012</v>
      </c>
      <c r="H1217">
        <v>74</v>
      </c>
      <c r="I1217">
        <v>100</v>
      </c>
      <c r="J1217">
        <v>1590</v>
      </c>
      <c r="K1217">
        <v>4084783</v>
      </c>
      <c r="L1217" t="s">
        <v>1190</v>
      </c>
      <c r="M1217" t="str">
        <f>"1211109"</f>
        <v>1211109</v>
      </c>
      <c r="N1217" t="str">
        <f>"1211109"</f>
        <v>1211109</v>
      </c>
      <c r="O1217" t="str">
        <f>""</f>
        <v/>
      </c>
      <c r="P1217" t="s">
        <v>1191</v>
      </c>
      <c r="Q1217" t="str">
        <f>""</f>
        <v/>
      </c>
      <c r="R1217" t="s">
        <v>1192</v>
      </c>
      <c r="S1217" t="s">
        <v>1193</v>
      </c>
      <c r="T1217" t="s">
        <v>1194</v>
      </c>
      <c r="U1217">
        <v>3069</v>
      </c>
      <c r="V1217" t="s">
        <v>1170</v>
      </c>
      <c r="W1217" t="s">
        <v>1171</v>
      </c>
      <c r="X1217" t="s">
        <v>1172</v>
      </c>
      <c r="Y1217" t="s">
        <v>1172</v>
      </c>
    </row>
    <row r="1218" spans="1:25">
      <c r="A1218">
        <v>13529</v>
      </c>
      <c r="B1218" t="s">
        <v>25</v>
      </c>
      <c r="C1218" t="str">
        <f t="shared" ref="C1218:C1281" si="39">"INTEGRA Saloon"</f>
        <v>INTEGRA Saloon</v>
      </c>
      <c r="D1218" t="str">
        <f t="shared" si="38"/>
        <v>1.6</v>
      </c>
      <c r="E1218" t="s">
        <v>26</v>
      </c>
      <c r="F1218">
        <v>198501</v>
      </c>
      <c r="G1218">
        <v>199012</v>
      </c>
      <c r="H1218">
        <v>74</v>
      </c>
      <c r="I1218">
        <v>100</v>
      </c>
      <c r="J1218">
        <v>1590</v>
      </c>
      <c r="K1218">
        <v>747446</v>
      </c>
      <c r="L1218" t="s">
        <v>1167</v>
      </c>
      <c r="M1218" t="str">
        <f>"LEICHTLAUF10W40"</f>
        <v>LEICHTLAUF10W40</v>
      </c>
      <c r="N1218" t="str">
        <f>"LEICHTLAUF 10W40"</f>
        <v>LEICHTLAUF 10W40</v>
      </c>
      <c r="O1218" t="str">
        <f>""</f>
        <v/>
      </c>
      <c r="P1218" t="s">
        <v>1195</v>
      </c>
      <c r="Q1218" t="str">
        <f>""</f>
        <v/>
      </c>
      <c r="S1218" t="s">
        <v>1616</v>
      </c>
      <c r="U1218">
        <v>3224</v>
      </c>
      <c r="V1218" t="s">
        <v>72</v>
      </c>
      <c r="W1218" t="s">
        <v>1171</v>
      </c>
      <c r="X1218" t="s">
        <v>71</v>
      </c>
      <c r="Y1218" t="s">
        <v>1197</v>
      </c>
    </row>
    <row r="1219" spans="1:25">
      <c r="A1219">
        <v>13529</v>
      </c>
      <c r="B1219" t="s">
        <v>25</v>
      </c>
      <c r="C1219" t="str">
        <f t="shared" si="39"/>
        <v>INTEGRA Saloon</v>
      </c>
      <c r="D1219" t="str">
        <f t="shared" si="38"/>
        <v>1.6</v>
      </c>
      <c r="E1219" t="s">
        <v>26</v>
      </c>
      <c r="F1219">
        <v>198501</v>
      </c>
      <c r="G1219">
        <v>199012</v>
      </c>
      <c r="H1219">
        <v>74</v>
      </c>
      <c r="I1219">
        <v>100</v>
      </c>
      <c r="J1219">
        <v>1590</v>
      </c>
      <c r="K1219">
        <v>747451</v>
      </c>
      <c r="L1219" t="s">
        <v>1167</v>
      </c>
      <c r="M1219" t="str">
        <f>"MOS2LEICHTL10W40"</f>
        <v>MOS2LEICHTL10W40</v>
      </c>
      <c r="N1219" t="str">
        <f>"MoS2 LEICHTL. 10W40"</f>
        <v>MoS2 LEICHTL. 10W40</v>
      </c>
      <c r="O1219" t="str">
        <f>""</f>
        <v/>
      </c>
      <c r="P1219" t="s">
        <v>1195</v>
      </c>
      <c r="Q1219" t="str">
        <f>""</f>
        <v/>
      </c>
      <c r="S1219" t="s">
        <v>1616</v>
      </c>
      <c r="U1219">
        <v>3224</v>
      </c>
      <c r="V1219" t="s">
        <v>72</v>
      </c>
      <c r="W1219" t="s">
        <v>1171</v>
      </c>
      <c r="X1219" t="s">
        <v>71</v>
      </c>
      <c r="Y1219" t="s">
        <v>1197</v>
      </c>
    </row>
    <row r="1220" spans="1:25">
      <c r="A1220">
        <v>13529</v>
      </c>
      <c r="B1220" t="s">
        <v>25</v>
      </c>
      <c r="C1220" t="str">
        <f t="shared" si="39"/>
        <v>INTEGRA Saloon</v>
      </c>
      <c r="D1220" t="str">
        <f t="shared" si="38"/>
        <v>1.6</v>
      </c>
      <c r="E1220" t="s">
        <v>26</v>
      </c>
      <c r="F1220">
        <v>198501</v>
      </c>
      <c r="G1220">
        <v>199012</v>
      </c>
      <c r="H1220">
        <v>74</v>
      </c>
      <c r="I1220">
        <v>100</v>
      </c>
      <c r="J1220">
        <v>1590</v>
      </c>
      <c r="K1220">
        <v>747452</v>
      </c>
      <c r="L1220" t="s">
        <v>1167</v>
      </c>
      <c r="M1220" t="str">
        <f>"NOVASUPER10W40"</f>
        <v>NOVASUPER10W40</v>
      </c>
      <c r="N1220" t="str">
        <f>"NOVA SUPER 10W40"</f>
        <v>NOVA SUPER 10W40</v>
      </c>
      <c r="O1220" t="str">
        <f>""</f>
        <v/>
      </c>
      <c r="P1220" t="s">
        <v>1195</v>
      </c>
      <c r="Q1220" t="str">
        <f>""</f>
        <v/>
      </c>
      <c r="S1220" t="s">
        <v>1616</v>
      </c>
      <c r="U1220">
        <v>3224</v>
      </c>
      <c r="V1220" t="s">
        <v>72</v>
      </c>
      <c r="W1220" t="s">
        <v>1171</v>
      </c>
      <c r="X1220" t="s">
        <v>71</v>
      </c>
      <c r="Y1220" t="s">
        <v>1197</v>
      </c>
    </row>
    <row r="1221" spans="1:25">
      <c r="A1221">
        <v>13529</v>
      </c>
      <c r="B1221" t="s">
        <v>25</v>
      </c>
      <c r="C1221" t="str">
        <f t="shared" si="39"/>
        <v>INTEGRA Saloon</v>
      </c>
      <c r="D1221" t="str">
        <f t="shared" si="38"/>
        <v>1.6</v>
      </c>
      <c r="E1221" t="s">
        <v>26</v>
      </c>
      <c r="F1221">
        <v>198501</v>
      </c>
      <c r="G1221">
        <v>199012</v>
      </c>
      <c r="H1221">
        <v>74</v>
      </c>
      <c r="I1221">
        <v>100</v>
      </c>
      <c r="J1221">
        <v>1590</v>
      </c>
      <c r="K1221">
        <v>747453</v>
      </c>
      <c r="L1221" t="s">
        <v>1167</v>
      </c>
      <c r="M1221" t="str">
        <f>"NOVASUPER15W40"</f>
        <v>NOVASUPER15W40</v>
      </c>
      <c r="N1221" t="str">
        <f>"NOVA SUPER 15W40"</f>
        <v>NOVA SUPER 15W40</v>
      </c>
      <c r="O1221" t="str">
        <f>""</f>
        <v/>
      </c>
      <c r="P1221" t="s">
        <v>1195</v>
      </c>
      <c r="Q1221" t="str">
        <f>""</f>
        <v/>
      </c>
      <c r="S1221" t="s">
        <v>1616</v>
      </c>
      <c r="U1221">
        <v>3224</v>
      </c>
      <c r="V1221" t="s">
        <v>72</v>
      </c>
      <c r="W1221" t="s">
        <v>1171</v>
      </c>
      <c r="X1221" t="s">
        <v>71</v>
      </c>
      <c r="Y1221" t="s">
        <v>1197</v>
      </c>
    </row>
    <row r="1222" spans="1:25">
      <c r="A1222">
        <v>13529</v>
      </c>
      <c r="B1222" t="s">
        <v>25</v>
      </c>
      <c r="C1222" t="str">
        <f t="shared" si="39"/>
        <v>INTEGRA Saloon</v>
      </c>
      <c r="D1222" t="str">
        <f t="shared" si="38"/>
        <v>1.6</v>
      </c>
      <c r="E1222" t="s">
        <v>26</v>
      </c>
      <c r="F1222">
        <v>198501</v>
      </c>
      <c r="G1222">
        <v>199012</v>
      </c>
      <c r="H1222">
        <v>74</v>
      </c>
      <c r="I1222">
        <v>100</v>
      </c>
      <c r="J1222">
        <v>1590</v>
      </c>
      <c r="K1222">
        <v>747454</v>
      </c>
      <c r="L1222" t="s">
        <v>1167</v>
      </c>
      <c r="M1222" t="str">
        <f>"NOVASUPER20W50"</f>
        <v>NOVASUPER20W50</v>
      </c>
      <c r="N1222" t="str">
        <f>"NOVA SUPER 20W50"</f>
        <v>NOVA SUPER 20W50</v>
      </c>
      <c r="O1222" t="str">
        <f>""</f>
        <v/>
      </c>
      <c r="P1222" t="s">
        <v>1195</v>
      </c>
      <c r="Q1222" t="str">
        <f>""</f>
        <v/>
      </c>
      <c r="S1222" t="s">
        <v>1616</v>
      </c>
      <c r="U1222">
        <v>3224</v>
      </c>
      <c r="V1222" t="s">
        <v>72</v>
      </c>
      <c r="W1222" t="s">
        <v>1171</v>
      </c>
      <c r="X1222" t="s">
        <v>71</v>
      </c>
      <c r="Y1222" t="s">
        <v>1197</v>
      </c>
    </row>
    <row r="1223" spans="1:25">
      <c r="A1223">
        <v>13529</v>
      </c>
      <c r="B1223" t="s">
        <v>25</v>
      </c>
      <c r="C1223" t="str">
        <f t="shared" si="39"/>
        <v>INTEGRA Saloon</v>
      </c>
      <c r="D1223" t="str">
        <f t="shared" si="38"/>
        <v>1.6</v>
      </c>
      <c r="E1223" t="s">
        <v>26</v>
      </c>
      <c r="F1223">
        <v>198501</v>
      </c>
      <c r="G1223">
        <v>199012</v>
      </c>
      <c r="H1223">
        <v>74</v>
      </c>
      <c r="I1223">
        <v>100</v>
      </c>
      <c r="J1223">
        <v>1590</v>
      </c>
      <c r="K1223">
        <v>747458</v>
      </c>
      <c r="L1223" t="s">
        <v>1167</v>
      </c>
      <c r="M1223" t="str">
        <f>"SUPERLEICHTL10W40"</f>
        <v>SUPERLEICHTL10W40</v>
      </c>
      <c r="N1223" t="str">
        <f>"SUPER LEICHTL. 10W40"</f>
        <v>SUPER LEICHTL. 10W40</v>
      </c>
      <c r="O1223" t="str">
        <f>""</f>
        <v/>
      </c>
      <c r="P1223" t="s">
        <v>1195</v>
      </c>
      <c r="Q1223" t="str">
        <f>""</f>
        <v/>
      </c>
      <c r="S1223" t="s">
        <v>1616</v>
      </c>
      <c r="U1223">
        <v>3224</v>
      </c>
      <c r="V1223" t="s">
        <v>72</v>
      </c>
      <c r="W1223" t="s">
        <v>1171</v>
      </c>
      <c r="X1223" t="s">
        <v>71</v>
      </c>
      <c r="Y1223" t="s">
        <v>1197</v>
      </c>
    </row>
    <row r="1224" spans="1:25">
      <c r="A1224">
        <v>13529</v>
      </c>
      <c r="B1224" t="s">
        <v>25</v>
      </c>
      <c r="C1224" t="str">
        <f t="shared" si="39"/>
        <v>INTEGRA Saloon</v>
      </c>
      <c r="D1224" t="str">
        <f t="shared" si="38"/>
        <v>1.6</v>
      </c>
      <c r="E1224" t="s">
        <v>26</v>
      </c>
      <c r="F1224">
        <v>198501</v>
      </c>
      <c r="G1224">
        <v>199012</v>
      </c>
      <c r="H1224">
        <v>74</v>
      </c>
      <c r="I1224">
        <v>100</v>
      </c>
      <c r="J1224">
        <v>1590</v>
      </c>
      <c r="K1224">
        <v>747462</v>
      </c>
      <c r="L1224" t="s">
        <v>1167</v>
      </c>
      <c r="M1224" t="str">
        <f>"SYNTHOILHT5W40"</f>
        <v>SYNTHOILHT5W40</v>
      </c>
      <c r="N1224" t="str">
        <f>"SYNTHOIL HT 5W40"</f>
        <v>SYNTHOIL HT 5W40</v>
      </c>
      <c r="O1224" t="str">
        <f>""</f>
        <v/>
      </c>
      <c r="P1224" t="s">
        <v>1195</v>
      </c>
      <c r="Q1224" t="str">
        <f>""</f>
        <v/>
      </c>
      <c r="S1224" t="s">
        <v>1616</v>
      </c>
      <c r="U1224">
        <v>3224</v>
      </c>
      <c r="V1224" t="s">
        <v>72</v>
      </c>
      <c r="W1224" t="s">
        <v>1171</v>
      </c>
      <c r="X1224" t="s">
        <v>71</v>
      </c>
      <c r="Y1224" t="s">
        <v>1197</v>
      </c>
    </row>
    <row r="1225" spans="1:25">
      <c r="A1225">
        <v>13529</v>
      </c>
      <c r="B1225" t="s">
        <v>25</v>
      </c>
      <c r="C1225" t="str">
        <f t="shared" si="39"/>
        <v>INTEGRA Saloon</v>
      </c>
      <c r="D1225" t="str">
        <f t="shared" si="38"/>
        <v>1.6</v>
      </c>
      <c r="E1225" t="s">
        <v>26</v>
      </c>
      <c r="F1225">
        <v>198501</v>
      </c>
      <c r="G1225">
        <v>199012</v>
      </c>
      <c r="H1225">
        <v>74</v>
      </c>
      <c r="I1225">
        <v>100</v>
      </c>
      <c r="J1225">
        <v>1590</v>
      </c>
      <c r="K1225">
        <v>747465</v>
      </c>
      <c r="L1225" t="s">
        <v>1167</v>
      </c>
      <c r="M1225" t="str">
        <f>"TOPTEC41005W40"</f>
        <v>TOPTEC41005W40</v>
      </c>
      <c r="N1225" t="str">
        <f>"TOP TEC 4100 5W40"</f>
        <v>TOP TEC 4100 5W40</v>
      </c>
      <c r="O1225" t="str">
        <f>""</f>
        <v/>
      </c>
      <c r="P1225" t="s">
        <v>1195</v>
      </c>
      <c r="Q1225" t="str">
        <f>""</f>
        <v/>
      </c>
      <c r="S1225" t="s">
        <v>1616</v>
      </c>
      <c r="U1225">
        <v>3224</v>
      </c>
      <c r="V1225" t="s">
        <v>72</v>
      </c>
      <c r="W1225" t="s">
        <v>1171</v>
      </c>
      <c r="X1225" t="s">
        <v>71</v>
      </c>
      <c r="Y1225" t="s">
        <v>1197</v>
      </c>
    </row>
    <row r="1226" spans="1:25">
      <c r="A1226">
        <v>13529</v>
      </c>
      <c r="B1226" t="s">
        <v>25</v>
      </c>
      <c r="C1226" t="str">
        <f t="shared" si="39"/>
        <v>INTEGRA Saloon</v>
      </c>
      <c r="D1226" t="str">
        <f t="shared" si="38"/>
        <v>1.6</v>
      </c>
      <c r="E1226" t="s">
        <v>26</v>
      </c>
      <c r="F1226">
        <v>198501</v>
      </c>
      <c r="G1226">
        <v>199012</v>
      </c>
      <c r="H1226">
        <v>74</v>
      </c>
      <c r="I1226">
        <v>100</v>
      </c>
      <c r="J1226">
        <v>1590</v>
      </c>
      <c r="K1226">
        <v>747477</v>
      </c>
      <c r="L1226" t="s">
        <v>1167</v>
      </c>
      <c r="M1226" t="str">
        <f>"TOURINGHT10W30"</f>
        <v>TOURINGHT10W30</v>
      </c>
      <c r="N1226" t="str">
        <f>"TOURING HT 10W30"</f>
        <v>TOURING HT 10W30</v>
      </c>
      <c r="O1226" t="str">
        <f>""</f>
        <v/>
      </c>
      <c r="P1226" t="s">
        <v>1195</v>
      </c>
      <c r="Q1226" t="str">
        <f>""</f>
        <v/>
      </c>
      <c r="S1226" t="s">
        <v>1616</v>
      </c>
      <c r="U1226">
        <v>3224</v>
      </c>
      <c r="V1226" t="s">
        <v>72</v>
      </c>
      <c r="W1226" t="s">
        <v>1171</v>
      </c>
      <c r="X1226" t="s">
        <v>71</v>
      </c>
      <c r="Y1226" t="s">
        <v>1197</v>
      </c>
    </row>
    <row r="1227" spans="1:25">
      <c r="A1227">
        <v>13529</v>
      </c>
      <c r="B1227" t="s">
        <v>25</v>
      </c>
      <c r="C1227" t="str">
        <f t="shared" si="39"/>
        <v>INTEGRA Saloon</v>
      </c>
      <c r="D1227" t="str">
        <f t="shared" si="38"/>
        <v>1.6</v>
      </c>
      <c r="E1227" t="s">
        <v>26</v>
      </c>
      <c r="F1227">
        <v>198501</v>
      </c>
      <c r="G1227">
        <v>199012</v>
      </c>
      <c r="H1227">
        <v>74</v>
      </c>
      <c r="I1227">
        <v>100</v>
      </c>
      <c r="J1227">
        <v>1590</v>
      </c>
      <c r="K1227">
        <v>747479</v>
      </c>
      <c r="L1227" t="s">
        <v>1167</v>
      </c>
      <c r="M1227" t="str">
        <f>"TOURINGHT20W50"</f>
        <v>TOURINGHT20W50</v>
      </c>
      <c r="N1227" t="str">
        <f>"TOURING HT 20W50"</f>
        <v>TOURING HT 20W50</v>
      </c>
      <c r="O1227" t="str">
        <f>""</f>
        <v/>
      </c>
      <c r="P1227" t="s">
        <v>1195</v>
      </c>
      <c r="Q1227" t="str">
        <f>""</f>
        <v/>
      </c>
      <c r="S1227" t="s">
        <v>1616</v>
      </c>
      <c r="U1227">
        <v>3224</v>
      </c>
      <c r="V1227" t="s">
        <v>72</v>
      </c>
      <c r="W1227" t="s">
        <v>1171</v>
      </c>
      <c r="X1227" t="s">
        <v>71</v>
      </c>
      <c r="Y1227" t="s">
        <v>1197</v>
      </c>
    </row>
    <row r="1228" spans="1:25">
      <c r="A1228">
        <v>13529</v>
      </c>
      <c r="B1228" t="s">
        <v>25</v>
      </c>
      <c r="C1228" t="str">
        <f t="shared" si="39"/>
        <v>INTEGRA Saloon</v>
      </c>
      <c r="D1228" t="str">
        <f t="shared" si="38"/>
        <v>1.6</v>
      </c>
      <c r="E1228" t="s">
        <v>26</v>
      </c>
      <c r="F1228">
        <v>198501</v>
      </c>
      <c r="G1228">
        <v>199012</v>
      </c>
      <c r="H1228">
        <v>74</v>
      </c>
      <c r="I1228">
        <v>100</v>
      </c>
      <c r="J1228">
        <v>1590</v>
      </c>
      <c r="K1228">
        <v>750286</v>
      </c>
      <c r="L1228" t="s">
        <v>1173</v>
      </c>
      <c r="M1228" t="str">
        <f>"HIGHTRONICM5W40"</f>
        <v>HIGHTRONICM5W40</v>
      </c>
      <c r="N1228" t="str">
        <f>"HighTronic M 5W-40"</f>
        <v>HighTronic M 5W-40</v>
      </c>
      <c r="O1228" t="str">
        <f>""</f>
        <v/>
      </c>
      <c r="P1228" t="s">
        <v>1198</v>
      </c>
      <c r="Q1228" t="str">
        <f>""</f>
        <v/>
      </c>
      <c r="S1228" t="s">
        <v>1617</v>
      </c>
      <c r="U1228">
        <v>3224</v>
      </c>
      <c r="V1228" t="s">
        <v>72</v>
      </c>
      <c r="W1228" t="s">
        <v>1171</v>
      </c>
      <c r="X1228" t="s">
        <v>71</v>
      </c>
      <c r="Y1228" t="s">
        <v>1197</v>
      </c>
    </row>
    <row r="1229" spans="1:25">
      <c r="A1229">
        <v>13529</v>
      </c>
      <c r="B1229" t="s">
        <v>25</v>
      </c>
      <c r="C1229" t="str">
        <f t="shared" si="39"/>
        <v>INTEGRA Saloon</v>
      </c>
      <c r="D1229" t="str">
        <f t="shared" si="38"/>
        <v>1.6</v>
      </c>
      <c r="E1229" t="s">
        <v>26</v>
      </c>
      <c r="F1229">
        <v>198501</v>
      </c>
      <c r="G1229">
        <v>199012</v>
      </c>
      <c r="H1229">
        <v>74</v>
      </c>
      <c r="I1229">
        <v>100</v>
      </c>
      <c r="J1229">
        <v>1590</v>
      </c>
      <c r="K1229">
        <v>750298</v>
      </c>
      <c r="L1229" t="s">
        <v>1173</v>
      </c>
      <c r="M1229" t="str">
        <f>"TRONIC15W40"</f>
        <v>TRONIC15W40</v>
      </c>
      <c r="N1229" t="str">
        <f>"Tronic 15W-40"</f>
        <v>Tronic 15W-40</v>
      </c>
      <c r="O1229" t="str">
        <f>""</f>
        <v/>
      </c>
      <c r="P1229" t="s">
        <v>1198</v>
      </c>
      <c r="Q1229" t="str">
        <f>""</f>
        <v/>
      </c>
      <c r="S1229" t="s">
        <v>1617</v>
      </c>
      <c r="U1229">
        <v>3224</v>
      </c>
      <c r="V1229" t="s">
        <v>72</v>
      </c>
      <c r="W1229" t="s">
        <v>1171</v>
      </c>
      <c r="X1229" t="s">
        <v>71</v>
      </c>
      <c r="Y1229" t="s">
        <v>1197</v>
      </c>
    </row>
    <row r="1230" spans="1:25">
      <c r="A1230">
        <v>13529</v>
      </c>
      <c r="B1230" t="s">
        <v>25</v>
      </c>
      <c r="C1230" t="str">
        <f t="shared" si="39"/>
        <v>INTEGRA Saloon</v>
      </c>
      <c r="D1230" t="str">
        <f t="shared" si="38"/>
        <v>1.6</v>
      </c>
      <c r="E1230" t="s">
        <v>26</v>
      </c>
      <c r="F1230">
        <v>198501</v>
      </c>
      <c r="G1230">
        <v>199012</v>
      </c>
      <c r="H1230">
        <v>74</v>
      </c>
      <c r="I1230">
        <v>100</v>
      </c>
      <c r="J1230">
        <v>1590</v>
      </c>
      <c r="K1230">
        <v>877843</v>
      </c>
      <c r="L1230" t="s">
        <v>1176</v>
      </c>
      <c r="M1230" t="str">
        <f>"49520"</f>
        <v>49520</v>
      </c>
      <c r="N1230" t="str">
        <f>"49520"</f>
        <v>49520</v>
      </c>
      <c r="O1230" t="str">
        <f>""</f>
        <v/>
      </c>
      <c r="P1230" t="s">
        <v>72</v>
      </c>
      <c r="Q1230" t="str">
        <f>""</f>
        <v/>
      </c>
      <c r="S1230" t="s">
        <v>1617</v>
      </c>
      <c r="U1230">
        <v>3224</v>
      </c>
      <c r="V1230" t="s">
        <v>72</v>
      </c>
      <c r="W1230" t="s">
        <v>1171</v>
      </c>
      <c r="X1230" t="s">
        <v>71</v>
      </c>
      <c r="Y1230" t="s">
        <v>1197</v>
      </c>
    </row>
    <row r="1231" spans="1:25">
      <c r="A1231">
        <v>13529</v>
      </c>
      <c r="B1231" t="s">
        <v>25</v>
      </c>
      <c r="C1231" t="str">
        <f t="shared" si="39"/>
        <v>INTEGRA Saloon</v>
      </c>
      <c r="D1231" t="str">
        <f t="shared" si="38"/>
        <v>1.6</v>
      </c>
      <c r="E1231" t="s">
        <v>26</v>
      </c>
      <c r="F1231">
        <v>198501</v>
      </c>
      <c r="G1231">
        <v>199012</v>
      </c>
      <c r="H1231">
        <v>74</v>
      </c>
      <c r="I1231">
        <v>100</v>
      </c>
      <c r="J1231">
        <v>1590</v>
      </c>
      <c r="K1231">
        <v>877856</v>
      </c>
      <c r="L1231" t="s">
        <v>1176</v>
      </c>
      <c r="M1231" t="str">
        <f>"49540"</f>
        <v>49540</v>
      </c>
      <c r="N1231" t="str">
        <f>"49540"</f>
        <v>49540</v>
      </c>
      <c r="O1231" t="str">
        <f>""</f>
        <v/>
      </c>
      <c r="P1231" t="s">
        <v>72</v>
      </c>
      <c r="Q1231" t="str">
        <f>""</f>
        <v/>
      </c>
      <c r="S1231" t="s">
        <v>1617</v>
      </c>
      <c r="U1231">
        <v>3224</v>
      </c>
      <c r="V1231" t="s">
        <v>72</v>
      </c>
      <c r="W1231" t="s">
        <v>1171</v>
      </c>
      <c r="X1231" t="s">
        <v>71</v>
      </c>
      <c r="Y1231" t="s">
        <v>1197</v>
      </c>
    </row>
    <row r="1232" spans="1:25">
      <c r="A1232">
        <v>13529</v>
      </c>
      <c r="B1232" t="s">
        <v>25</v>
      </c>
      <c r="C1232" t="str">
        <f t="shared" si="39"/>
        <v>INTEGRA Saloon</v>
      </c>
      <c r="D1232" t="str">
        <f t="shared" si="38"/>
        <v>1.6</v>
      </c>
      <c r="E1232" t="s">
        <v>26</v>
      </c>
      <c r="F1232">
        <v>198501</v>
      </c>
      <c r="G1232">
        <v>199012</v>
      </c>
      <c r="H1232">
        <v>74</v>
      </c>
      <c r="I1232">
        <v>100</v>
      </c>
      <c r="J1232">
        <v>1590</v>
      </c>
      <c r="K1232">
        <v>877864</v>
      </c>
      <c r="L1232" t="s">
        <v>1176</v>
      </c>
      <c r="M1232" t="str">
        <f>"49610"</f>
        <v>49610</v>
      </c>
      <c r="N1232" t="str">
        <f>"49610"</f>
        <v>49610</v>
      </c>
      <c r="O1232" t="str">
        <f>""</f>
        <v/>
      </c>
      <c r="P1232" t="s">
        <v>72</v>
      </c>
      <c r="Q1232" t="str">
        <f>""</f>
        <v/>
      </c>
      <c r="S1232" t="s">
        <v>1617</v>
      </c>
      <c r="U1232">
        <v>3224</v>
      </c>
      <c r="V1232" t="s">
        <v>72</v>
      </c>
      <c r="W1232" t="s">
        <v>1171</v>
      </c>
      <c r="X1232" t="s">
        <v>71</v>
      </c>
      <c r="Y1232" t="s">
        <v>1197</v>
      </c>
    </row>
    <row r="1233" spans="1:25">
      <c r="A1233">
        <v>13529</v>
      </c>
      <c r="B1233" t="s">
        <v>25</v>
      </c>
      <c r="C1233" t="str">
        <f t="shared" si="39"/>
        <v>INTEGRA Saloon</v>
      </c>
      <c r="D1233" t="str">
        <f t="shared" si="38"/>
        <v>1.6</v>
      </c>
      <c r="E1233" t="s">
        <v>26</v>
      </c>
      <c r="F1233">
        <v>198501</v>
      </c>
      <c r="G1233">
        <v>199012</v>
      </c>
      <c r="H1233">
        <v>74</v>
      </c>
      <c r="I1233">
        <v>100</v>
      </c>
      <c r="J1233">
        <v>1590</v>
      </c>
      <c r="K1233">
        <v>877870</v>
      </c>
      <c r="L1233" t="s">
        <v>1176</v>
      </c>
      <c r="M1233" t="str">
        <f>"49623"</f>
        <v>49623</v>
      </c>
      <c r="N1233" t="str">
        <f>"49623"</f>
        <v>49623</v>
      </c>
      <c r="O1233" t="str">
        <f>""</f>
        <v/>
      </c>
      <c r="P1233" t="s">
        <v>72</v>
      </c>
      <c r="Q1233" t="str">
        <f>""</f>
        <v/>
      </c>
      <c r="S1233" t="s">
        <v>1617</v>
      </c>
      <c r="U1233">
        <v>3224</v>
      </c>
      <c r="V1233" t="s">
        <v>72</v>
      </c>
      <c r="W1233" t="s">
        <v>1171</v>
      </c>
      <c r="X1233" t="s">
        <v>71</v>
      </c>
      <c r="Y1233" t="s">
        <v>1197</v>
      </c>
    </row>
    <row r="1234" spans="1:25">
      <c r="A1234">
        <v>13529</v>
      </c>
      <c r="B1234" t="s">
        <v>25</v>
      </c>
      <c r="C1234" t="str">
        <f t="shared" si="39"/>
        <v>INTEGRA Saloon</v>
      </c>
      <c r="D1234" t="str">
        <f t="shared" si="38"/>
        <v>1.6</v>
      </c>
      <c r="E1234" t="s">
        <v>26</v>
      </c>
      <c r="F1234">
        <v>198501</v>
      </c>
      <c r="G1234">
        <v>199012</v>
      </c>
      <c r="H1234">
        <v>74</v>
      </c>
      <c r="I1234">
        <v>100</v>
      </c>
      <c r="J1234">
        <v>1590</v>
      </c>
      <c r="K1234">
        <v>877877</v>
      </c>
      <c r="L1234" t="s">
        <v>1176</v>
      </c>
      <c r="M1234" t="str">
        <f>"49624"</f>
        <v>49624</v>
      </c>
      <c r="N1234" t="str">
        <f>"49624"</f>
        <v>49624</v>
      </c>
      <c r="O1234" t="str">
        <f>""</f>
        <v/>
      </c>
      <c r="P1234" t="s">
        <v>72</v>
      </c>
      <c r="Q1234" t="str">
        <f>""</f>
        <v/>
      </c>
      <c r="S1234" t="s">
        <v>1617</v>
      </c>
      <c r="U1234">
        <v>3224</v>
      </c>
      <c r="V1234" t="s">
        <v>72</v>
      </c>
      <c r="W1234" t="s">
        <v>1171</v>
      </c>
      <c r="X1234" t="s">
        <v>71</v>
      </c>
      <c r="Y1234" t="s">
        <v>1197</v>
      </c>
    </row>
    <row r="1235" spans="1:25">
      <c r="A1235">
        <v>13529</v>
      </c>
      <c r="B1235" t="s">
        <v>25</v>
      </c>
      <c r="C1235" t="str">
        <f t="shared" si="39"/>
        <v>INTEGRA Saloon</v>
      </c>
      <c r="D1235" t="str">
        <f t="shared" si="38"/>
        <v>1.6</v>
      </c>
      <c r="E1235" t="s">
        <v>26</v>
      </c>
      <c r="F1235">
        <v>198501</v>
      </c>
      <c r="G1235">
        <v>199012</v>
      </c>
      <c r="H1235">
        <v>74</v>
      </c>
      <c r="I1235">
        <v>100</v>
      </c>
      <c r="J1235">
        <v>1590</v>
      </c>
      <c r="K1235">
        <v>877884</v>
      </c>
      <c r="L1235" t="s">
        <v>1176</v>
      </c>
      <c r="M1235" t="str">
        <f>"49632"</f>
        <v>49632</v>
      </c>
      <c r="N1235" t="str">
        <f>"49632"</f>
        <v>49632</v>
      </c>
      <c r="O1235" t="str">
        <f>""</f>
        <v/>
      </c>
      <c r="P1235" t="s">
        <v>72</v>
      </c>
      <c r="Q1235" t="str">
        <f>""</f>
        <v/>
      </c>
      <c r="S1235" t="s">
        <v>1617</v>
      </c>
      <c r="U1235">
        <v>3224</v>
      </c>
      <c r="V1235" t="s">
        <v>72</v>
      </c>
      <c r="W1235" t="s">
        <v>1171</v>
      </c>
      <c r="X1235" t="s">
        <v>71</v>
      </c>
      <c r="Y1235" t="s">
        <v>1197</v>
      </c>
    </row>
    <row r="1236" spans="1:25">
      <c r="A1236">
        <v>13529</v>
      </c>
      <c r="B1236" t="s">
        <v>25</v>
      </c>
      <c r="C1236" t="str">
        <f t="shared" si="39"/>
        <v>INTEGRA Saloon</v>
      </c>
      <c r="D1236" t="str">
        <f t="shared" si="38"/>
        <v>1.6</v>
      </c>
      <c r="E1236" t="s">
        <v>26</v>
      </c>
      <c r="F1236">
        <v>198501</v>
      </c>
      <c r="G1236">
        <v>199012</v>
      </c>
      <c r="H1236">
        <v>74</v>
      </c>
      <c r="I1236">
        <v>100</v>
      </c>
      <c r="J1236">
        <v>1590</v>
      </c>
      <c r="K1236">
        <v>877890</v>
      </c>
      <c r="L1236" t="s">
        <v>1176</v>
      </c>
      <c r="M1236" t="str">
        <f>"49640"</f>
        <v>49640</v>
      </c>
      <c r="N1236" t="str">
        <f>"49640"</f>
        <v>49640</v>
      </c>
      <c r="O1236" t="str">
        <f>""</f>
        <v/>
      </c>
      <c r="P1236" t="s">
        <v>72</v>
      </c>
      <c r="Q1236" t="str">
        <f>""</f>
        <v/>
      </c>
      <c r="S1236" t="s">
        <v>1617</v>
      </c>
      <c r="U1236">
        <v>3224</v>
      </c>
      <c r="V1236" t="s">
        <v>72</v>
      </c>
      <c r="W1236" t="s">
        <v>1171</v>
      </c>
      <c r="X1236" t="s">
        <v>71</v>
      </c>
      <c r="Y1236" t="s">
        <v>1197</v>
      </c>
    </row>
    <row r="1237" spans="1:25">
      <c r="A1237">
        <v>13529</v>
      </c>
      <c r="B1237" t="s">
        <v>25</v>
      </c>
      <c r="C1237" t="str">
        <f t="shared" si="39"/>
        <v>INTEGRA Saloon</v>
      </c>
      <c r="D1237" t="str">
        <f t="shared" si="38"/>
        <v>1.6</v>
      </c>
      <c r="E1237" t="s">
        <v>26</v>
      </c>
      <c r="F1237">
        <v>198501</v>
      </c>
      <c r="G1237">
        <v>199012</v>
      </c>
      <c r="H1237">
        <v>74</v>
      </c>
      <c r="I1237">
        <v>100</v>
      </c>
      <c r="J1237">
        <v>1590</v>
      </c>
      <c r="K1237">
        <v>877905</v>
      </c>
      <c r="L1237" t="s">
        <v>1176</v>
      </c>
      <c r="M1237" t="str">
        <f>"49700"</f>
        <v>49700</v>
      </c>
      <c r="N1237" t="str">
        <f>"49700"</f>
        <v>49700</v>
      </c>
      <c r="O1237" t="str">
        <f>""</f>
        <v/>
      </c>
      <c r="P1237" t="s">
        <v>72</v>
      </c>
      <c r="Q1237" t="str">
        <f>""</f>
        <v/>
      </c>
      <c r="S1237" t="s">
        <v>1617</v>
      </c>
      <c r="U1237">
        <v>3224</v>
      </c>
      <c r="V1237" t="s">
        <v>72</v>
      </c>
      <c r="W1237" t="s">
        <v>1171</v>
      </c>
      <c r="X1237" t="s">
        <v>71</v>
      </c>
      <c r="Y1237" t="s">
        <v>1197</v>
      </c>
    </row>
    <row r="1238" spans="1:25">
      <c r="A1238">
        <v>13529</v>
      </c>
      <c r="B1238" t="s">
        <v>25</v>
      </c>
      <c r="C1238" t="str">
        <f t="shared" si="39"/>
        <v>INTEGRA Saloon</v>
      </c>
      <c r="D1238" t="str">
        <f t="shared" si="38"/>
        <v>1.6</v>
      </c>
      <c r="E1238" t="s">
        <v>26</v>
      </c>
      <c r="F1238">
        <v>198501</v>
      </c>
      <c r="G1238">
        <v>199012</v>
      </c>
      <c r="H1238">
        <v>74</v>
      </c>
      <c r="I1238">
        <v>100</v>
      </c>
      <c r="J1238">
        <v>1590</v>
      </c>
      <c r="K1238">
        <v>877917</v>
      </c>
      <c r="L1238" t="s">
        <v>1176</v>
      </c>
      <c r="M1238" t="str">
        <f>"49720"</f>
        <v>49720</v>
      </c>
      <c r="N1238" t="str">
        <f>"49720"</f>
        <v>49720</v>
      </c>
      <c r="O1238" t="str">
        <f>""</f>
        <v/>
      </c>
      <c r="P1238" t="s">
        <v>72</v>
      </c>
      <c r="Q1238" t="str">
        <f>""</f>
        <v/>
      </c>
      <c r="S1238" t="s">
        <v>1617</v>
      </c>
      <c r="U1238">
        <v>3224</v>
      </c>
      <c r="V1238" t="s">
        <v>72</v>
      </c>
      <c r="W1238" t="s">
        <v>1171</v>
      </c>
      <c r="X1238" t="s">
        <v>71</v>
      </c>
      <c r="Y1238" t="s">
        <v>1197</v>
      </c>
    </row>
    <row r="1239" spans="1:25">
      <c r="A1239">
        <v>13529</v>
      </c>
      <c r="B1239" t="s">
        <v>25</v>
      </c>
      <c r="C1239" t="str">
        <f t="shared" si="39"/>
        <v>INTEGRA Saloon</v>
      </c>
      <c r="D1239" t="str">
        <f t="shared" si="38"/>
        <v>1.6</v>
      </c>
      <c r="E1239" t="s">
        <v>26</v>
      </c>
      <c r="F1239">
        <v>198501</v>
      </c>
      <c r="G1239">
        <v>199012</v>
      </c>
      <c r="H1239">
        <v>74</v>
      </c>
      <c r="I1239">
        <v>100</v>
      </c>
      <c r="J1239">
        <v>1590</v>
      </c>
      <c r="K1239">
        <v>878251</v>
      </c>
      <c r="L1239" t="s">
        <v>1176</v>
      </c>
      <c r="M1239" t="str">
        <f>"48470"</f>
        <v>48470</v>
      </c>
      <c r="N1239" t="str">
        <f>"48470"</f>
        <v>48470</v>
      </c>
      <c r="O1239" t="str">
        <f>""</f>
        <v/>
      </c>
      <c r="P1239" t="s">
        <v>72</v>
      </c>
      <c r="Q1239" t="str">
        <f>""</f>
        <v/>
      </c>
      <c r="S1239" t="s">
        <v>1617</v>
      </c>
      <c r="U1239">
        <v>3224</v>
      </c>
      <c r="V1239" t="s">
        <v>72</v>
      </c>
      <c r="W1239" t="s">
        <v>1171</v>
      </c>
      <c r="X1239" t="s">
        <v>71</v>
      </c>
      <c r="Y1239" t="s">
        <v>1197</v>
      </c>
    </row>
    <row r="1240" spans="1:25">
      <c r="A1240">
        <v>13529</v>
      </c>
      <c r="B1240" t="s">
        <v>25</v>
      </c>
      <c r="C1240" t="str">
        <f t="shared" si="39"/>
        <v>INTEGRA Saloon</v>
      </c>
      <c r="D1240" t="str">
        <f t="shared" si="38"/>
        <v>1.6</v>
      </c>
      <c r="E1240" t="s">
        <v>26</v>
      </c>
      <c r="F1240">
        <v>198501</v>
      </c>
      <c r="G1240">
        <v>199012</v>
      </c>
      <c r="H1240">
        <v>74</v>
      </c>
      <c r="I1240">
        <v>100</v>
      </c>
      <c r="J1240">
        <v>1590</v>
      </c>
      <c r="K1240">
        <v>878475</v>
      </c>
      <c r="L1240" t="s">
        <v>1176</v>
      </c>
      <c r="M1240" t="str">
        <f>"49340"</f>
        <v>49340</v>
      </c>
      <c r="N1240" t="str">
        <f>"49340"</f>
        <v>49340</v>
      </c>
      <c r="O1240" t="str">
        <f>""</f>
        <v/>
      </c>
      <c r="P1240" t="s">
        <v>72</v>
      </c>
      <c r="Q1240" t="str">
        <f>""</f>
        <v/>
      </c>
      <c r="S1240" t="s">
        <v>1617</v>
      </c>
      <c r="U1240">
        <v>3224</v>
      </c>
      <c r="V1240" t="s">
        <v>72</v>
      </c>
      <c r="W1240" t="s">
        <v>1171</v>
      </c>
      <c r="X1240" t="s">
        <v>71</v>
      </c>
      <c r="Y1240" t="s">
        <v>1197</v>
      </c>
    </row>
    <row r="1241" spans="1:25">
      <c r="A1241">
        <v>13529</v>
      </c>
      <c r="B1241" t="s">
        <v>25</v>
      </c>
      <c r="C1241" t="str">
        <f t="shared" si="39"/>
        <v>INTEGRA Saloon</v>
      </c>
      <c r="D1241" t="str">
        <f t="shared" si="38"/>
        <v>1.6</v>
      </c>
      <c r="E1241" t="s">
        <v>26</v>
      </c>
      <c r="F1241">
        <v>198501</v>
      </c>
      <c r="G1241">
        <v>199012</v>
      </c>
      <c r="H1241">
        <v>74</v>
      </c>
      <c r="I1241">
        <v>100</v>
      </c>
      <c r="J1241">
        <v>1590</v>
      </c>
      <c r="K1241">
        <v>878508</v>
      </c>
      <c r="L1241" t="s">
        <v>1176</v>
      </c>
      <c r="M1241" t="str">
        <f>"49421"</f>
        <v>49421</v>
      </c>
      <c r="N1241" t="str">
        <f>"49421"</f>
        <v>49421</v>
      </c>
      <c r="O1241" t="str">
        <f>""</f>
        <v/>
      </c>
      <c r="P1241" t="s">
        <v>72</v>
      </c>
      <c r="Q1241" t="str">
        <f>""</f>
        <v/>
      </c>
      <c r="S1241" t="s">
        <v>1617</v>
      </c>
      <c r="U1241">
        <v>3224</v>
      </c>
      <c r="V1241" t="s">
        <v>72</v>
      </c>
      <c r="W1241" t="s">
        <v>1171</v>
      </c>
      <c r="X1241" t="s">
        <v>71</v>
      </c>
      <c r="Y1241" t="s">
        <v>1197</v>
      </c>
    </row>
    <row r="1242" spans="1:25">
      <c r="A1242">
        <v>13529</v>
      </c>
      <c r="B1242" t="s">
        <v>25</v>
      </c>
      <c r="C1242" t="str">
        <f t="shared" si="39"/>
        <v>INTEGRA Saloon</v>
      </c>
      <c r="D1242" t="str">
        <f t="shared" si="38"/>
        <v>1.6</v>
      </c>
      <c r="E1242" t="s">
        <v>26</v>
      </c>
      <c r="F1242">
        <v>198501</v>
      </c>
      <c r="G1242">
        <v>199012</v>
      </c>
      <c r="H1242">
        <v>74</v>
      </c>
      <c r="I1242">
        <v>100</v>
      </c>
      <c r="J1242">
        <v>1590</v>
      </c>
      <c r="K1242">
        <v>2738675</v>
      </c>
      <c r="L1242" t="s">
        <v>1177</v>
      </c>
      <c r="M1242" t="str">
        <f>"1336"</f>
        <v>1336</v>
      </c>
      <c r="N1242" t="str">
        <f>"1336"</f>
        <v>1336</v>
      </c>
      <c r="O1242" t="str">
        <f>""</f>
        <v/>
      </c>
      <c r="P1242" t="s">
        <v>1200</v>
      </c>
      <c r="Q1242" t="str">
        <f>""</f>
        <v/>
      </c>
      <c r="S1242" t="s">
        <v>1617</v>
      </c>
      <c r="U1242">
        <v>3224</v>
      </c>
      <c r="V1242" t="s">
        <v>72</v>
      </c>
      <c r="W1242" t="s">
        <v>1171</v>
      </c>
      <c r="X1242" t="s">
        <v>71</v>
      </c>
      <c r="Y1242" t="s">
        <v>1197</v>
      </c>
    </row>
    <row r="1243" spans="1:25">
      <c r="A1243">
        <v>13529</v>
      </c>
      <c r="B1243" t="s">
        <v>25</v>
      </c>
      <c r="C1243" t="str">
        <f t="shared" si="39"/>
        <v>INTEGRA Saloon</v>
      </c>
      <c r="D1243" t="str">
        <f t="shared" si="38"/>
        <v>1.6</v>
      </c>
      <c r="E1243" t="s">
        <v>26</v>
      </c>
      <c r="F1243">
        <v>198501</v>
      </c>
      <c r="G1243">
        <v>199012</v>
      </c>
      <c r="H1243">
        <v>74</v>
      </c>
      <c r="I1243">
        <v>100</v>
      </c>
      <c r="J1243">
        <v>1590</v>
      </c>
      <c r="K1243">
        <v>2738676</v>
      </c>
      <c r="L1243" t="s">
        <v>1177</v>
      </c>
      <c r="M1243" t="str">
        <f>"1347"</f>
        <v>1347</v>
      </c>
      <c r="N1243" t="str">
        <f>"1347"</f>
        <v>1347</v>
      </c>
      <c r="O1243" t="str">
        <f>""</f>
        <v/>
      </c>
      <c r="P1243" t="s">
        <v>1200</v>
      </c>
      <c r="Q1243" t="str">
        <f>""</f>
        <v/>
      </c>
      <c r="S1243" t="s">
        <v>1617</v>
      </c>
      <c r="U1243">
        <v>3224</v>
      </c>
      <c r="V1243" t="s">
        <v>72</v>
      </c>
      <c r="W1243" t="s">
        <v>1171</v>
      </c>
      <c r="X1243" t="s">
        <v>71</v>
      </c>
      <c r="Y1243" t="s">
        <v>1197</v>
      </c>
    </row>
    <row r="1244" spans="1:25">
      <c r="A1244">
        <v>13529</v>
      </c>
      <c r="B1244" t="s">
        <v>25</v>
      </c>
      <c r="C1244" t="str">
        <f t="shared" si="39"/>
        <v>INTEGRA Saloon</v>
      </c>
      <c r="D1244" t="str">
        <f t="shared" si="38"/>
        <v>1.6</v>
      </c>
      <c r="E1244" t="s">
        <v>26</v>
      </c>
      <c r="F1244">
        <v>198501</v>
      </c>
      <c r="G1244">
        <v>199012</v>
      </c>
      <c r="H1244">
        <v>74</v>
      </c>
      <c r="I1244">
        <v>100</v>
      </c>
      <c r="J1244">
        <v>1590</v>
      </c>
      <c r="K1244">
        <v>2739441</v>
      </c>
      <c r="L1244" t="s">
        <v>1180</v>
      </c>
      <c r="M1244" t="str">
        <f>"1336"</f>
        <v>1336</v>
      </c>
      <c r="N1244" t="str">
        <f>"1336"</f>
        <v>1336</v>
      </c>
      <c r="O1244" t="str">
        <f>""</f>
        <v/>
      </c>
      <c r="P1244" t="s">
        <v>1200</v>
      </c>
      <c r="Q1244" t="str">
        <f>""</f>
        <v/>
      </c>
      <c r="S1244" t="s">
        <v>1617</v>
      </c>
      <c r="U1244">
        <v>3224</v>
      </c>
      <c r="V1244" t="s">
        <v>72</v>
      </c>
      <c r="W1244" t="s">
        <v>1171</v>
      </c>
      <c r="X1244" t="s">
        <v>71</v>
      </c>
      <c r="Y1244" t="s">
        <v>1197</v>
      </c>
    </row>
    <row r="1245" spans="1:25">
      <c r="A1245">
        <v>13529</v>
      </c>
      <c r="B1245" t="s">
        <v>25</v>
      </c>
      <c r="C1245" t="str">
        <f t="shared" si="39"/>
        <v>INTEGRA Saloon</v>
      </c>
      <c r="D1245" t="str">
        <f t="shared" si="38"/>
        <v>1.6</v>
      </c>
      <c r="E1245" t="s">
        <v>26</v>
      </c>
      <c r="F1245">
        <v>198501</v>
      </c>
      <c r="G1245">
        <v>199012</v>
      </c>
      <c r="H1245">
        <v>74</v>
      </c>
      <c r="I1245">
        <v>100</v>
      </c>
      <c r="J1245">
        <v>1590</v>
      </c>
      <c r="K1245">
        <v>2739442</v>
      </c>
      <c r="L1245" t="s">
        <v>1180</v>
      </c>
      <c r="M1245" t="str">
        <f>"1347"</f>
        <v>1347</v>
      </c>
      <c r="N1245" t="str">
        <f>"1347"</f>
        <v>1347</v>
      </c>
      <c r="O1245" t="str">
        <f>""</f>
        <v/>
      </c>
      <c r="P1245" t="s">
        <v>1200</v>
      </c>
      <c r="Q1245" t="str">
        <f>""</f>
        <v/>
      </c>
      <c r="S1245" t="s">
        <v>1617</v>
      </c>
      <c r="U1245">
        <v>3224</v>
      </c>
      <c r="V1245" t="s">
        <v>72</v>
      </c>
      <c r="W1245" t="s">
        <v>1171</v>
      </c>
      <c r="X1245" t="s">
        <v>71</v>
      </c>
      <c r="Y1245" t="s">
        <v>1197</v>
      </c>
    </row>
    <row r="1246" spans="1:25">
      <c r="A1246">
        <v>13529</v>
      </c>
      <c r="B1246" t="s">
        <v>25</v>
      </c>
      <c r="C1246" t="str">
        <f t="shared" si="39"/>
        <v>INTEGRA Saloon</v>
      </c>
      <c r="D1246" t="str">
        <f t="shared" si="38"/>
        <v>1.6</v>
      </c>
      <c r="E1246" t="s">
        <v>26</v>
      </c>
      <c r="F1246">
        <v>198501</v>
      </c>
      <c r="G1246">
        <v>199012</v>
      </c>
      <c r="H1246">
        <v>74</v>
      </c>
      <c r="I1246">
        <v>100</v>
      </c>
      <c r="J1246">
        <v>1590</v>
      </c>
      <c r="K1246">
        <v>2740208</v>
      </c>
      <c r="L1246" t="s">
        <v>1180</v>
      </c>
      <c r="M1246" t="str">
        <f>"836"</f>
        <v>836</v>
      </c>
      <c r="N1246" t="str">
        <f>"836"</f>
        <v>836</v>
      </c>
      <c r="O1246" t="str">
        <f>""</f>
        <v/>
      </c>
      <c r="P1246" t="s">
        <v>1200</v>
      </c>
      <c r="Q1246" t="str">
        <f>""</f>
        <v/>
      </c>
      <c r="S1246" t="s">
        <v>1617</v>
      </c>
      <c r="U1246">
        <v>3224</v>
      </c>
      <c r="V1246" t="s">
        <v>72</v>
      </c>
      <c r="W1246" t="s">
        <v>1171</v>
      </c>
      <c r="X1246" t="s">
        <v>71</v>
      </c>
      <c r="Y1246" t="s">
        <v>1197</v>
      </c>
    </row>
    <row r="1247" spans="1:25">
      <c r="A1247">
        <v>13529</v>
      </c>
      <c r="B1247" t="s">
        <v>25</v>
      </c>
      <c r="C1247" t="str">
        <f t="shared" si="39"/>
        <v>INTEGRA Saloon</v>
      </c>
      <c r="D1247" t="str">
        <f t="shared" si="38"/>
        <v>1.6</v>
      </c>
      <c r="E1247" t="s">
        <v>26</v>
      </c>
      <c r="F1247">
        <v>198501</v>
      </c>
      <c r="G1247">
        <v>199012</v>
      </c>
      <c r="H1247">
        <v>74</v>
      </c>
      <c r="I1247">
        <v>100</v>
      </c>
      <c r="J1247">
        <v>1590</v>
      </c>
      <c r="K1247">
        <v>2740209</v>
      </c>
      <c r="L1247" t="s">
        <v>1180</v>
      </c>
      <c r="M1247" t="str">
        <f>"847"</f>
        <v>847</v>
      </c>
      <c r="N1247" t="str">
        <f>"847"</f>
        <v>847</v>
      </c>
      <c r="O1247" t="str">
        <f>""</f>
        <v/>
      </c>
      <c r="P1247" t="s">
        <v>1200</v>
      </c>
      <c r="Q1247" t="str">
        <f>""</f>
        <v/>
      </c>
      <c r="S1247" t="s">
        <v>1617</v>
      </c>
      <c r="U1247">
        <v>3224</v>
      </c>
      <c r="V1247" t="s">
        <v>72</v>
      </c>
      <c r="W1247" t="s">
        <v>1171</v>
      </c>
      <c r="X1247" t="s">
        <v>71</v>
      </c>
      <c r="Y1247" t="s">
        <v>1197</v>
      </c>
    </row>
    <row r="1248" spans="1:25">
      <c r="A1248">
        <v>13529</v>
      </c>
      <c r="B1248" t="s">
        <v>25</v>
      </c>
      <c r="C1248" t="str">
        <f t="shared" si="39"/>
        <v>INTEGRA Saloon</v>
      </c>
      <c r="D1248" t="str">
        <f t="shared" si="38"/>
        <v>1.6</v>
      </c>
      <c r="E1248" t="s">
        <v>26</v>
      </c>
      <c r="F1248">
        <v>198501</v>
      </c>
      <c r="G1248">
        <v>199012</v>
      </c>
      <c r="H1248">
        <v>74</v>
      </c>
      <c r="I1248">
        <v>100</v>
      </c>
      <c r="J1248">
        <v>1590</v>
      </c>
      <c r="K1248">
        <v>2861463</v>
      </c>
      <c r="L1248" t="s">
        <v>1181</v>
      </c>
      <c r="M1248" t="str">
        <f>"0078"</f>
        <v>0078</v>
      </c>
      <c r="N1248" t="str">
        <f>"0078"</f>
        <v>0078</v>
      </c>
      <c r="O1248" t="str">
        <f>""</f>
        <v/>
      </c>
      <c r="P1248" t="s">
        <v>1201</v>
      </c>
      <c r="Q1248" t="str">
        <f>""</f>
        <v/>
      </c>
      <c r="S1248" t="s">
        <v>1617</v>
      </c>
      <c r="U1248">
        <v>3224</v>
      </c>
      <c r="V1248" t="s">
        <v>72</v>
      </c>
      <c r="W1248" t="s">
        <v>1171</v>
      </c>
      <c r="X1248" t="s">
        <v>71</v>
      </c>
      <c r="Y1248" t="s">
        <v>1197</v>
      </c>
    </row>
    <row r="1249" spans="1:25">
      <c r="A1249">
        <v>13529</v>
      </c>
      <c r="B1249" t="s">
        <v>25</v>
      </c>
      <c r="C1249" t="str">
        <f t="shared" si="39"/>
        <v>INTEGRA Saloon</v>
      </c>
      <c r="D1249" t="str">
        <f t="shared" si="38"/>
        <v>1.6</v>
      </c>
      <c r="E1249" t="s">
        <v>26</v>
      </c>
      <c r="F1249">
        <v>198501</v>
      </c>
      <c r="G1249">
        <v>199012</v>
      </c>
      <c r="H1249">
        <v>74</v>
      </c>
      <c r="I1249">
        <v>100</v>
      </c>
      <c r="J1249">
        <v>1590</v>
      </c>
      <c r="K1249">
        <v>2861469</v>
      </c>
      <c r="L1249" t="s">
        <v>1181</v>
      </c>
      <c r="M1249" t="str">
        <f>"0080"</f>
        <v>0080</v>
      </c>
      <c r="N1249" t="str">
        <f>"0080"</f>
        <v>0080</v>
      </c>
      <c r="O1249" t="str">
        <f>""</f>
        <v/>
      </c>
      <c r="P1249" t="s">
        <v>1198</v>
      </c>
      <c r="Q1249" t="str">
        <f>""</f>
        <v/>
      </c>
      <c r="S1249" t="s">
        <v>1617</v>
      </c>
      <c r="U1249">
        <v>3224</v>
      </c>
      <c r="V1249" t="s">
        <v>72</v>
      </c>
      <c r="W1249" t="s">
        <v>1171</v>
      </c>
      <c r="X1249" t="s">
        <v>71</v>
      </c>
      <c r="Y1249" t="s">
        <v>1197</v>
      </c>
    </row>
    <row r="1250" spans="1:25">
      <c r="A1250">
        <v>13529</v>
      </c>
      <c r="B1250" t="s">
        <v>25</v>
      </c>
      <c r="C1250" t="str">
        <f t="shared" si="39"/>
        <v>INTEGRA Saloon</v>
      </c>
      <c r="D1250" t="str">
        <f t="shared" si="38"/>
        <v>1.6</v>
      </c>
      <c r="E1250" t="s">
        <v>26</v>
      </c>
      <c r="F1250">
        <v>198501</v>
      </c>
      <c r="G1250">
        <v>199012</v>
      </c>
      <c r="H1250">
        <v>74</v>
      </c>
      <c r="I1250">
        <v>100</v>
      </c>
      <c r="J1250">
        <v>1590</v>
      </c>
      <c r="K1250">
        <v>2861478</v>
      </c>
      <c r="L1250" t="s">
        <v>1181</v>
      </c>
      <c r="M1250" t="str">
        <f>"0082"</f>
        <v>0082</v>
      </c>
      <c r="N1250" t="str">
        <f>"0082"</f>
        <v>0082</v>
      </c>
      <c r="O1250" t="str">
        <f>""</f>
        <v/>
      </c>
      <c r="P1250" t="s">
        <v>1198</v>
      </c>
      <c r="Q1250" t="str">
        <f>""</f>
        <v/>
      </c>
      <c r="S1250" t="s">
        <v>1617</v>
      </c>
      <c r="U1250">
        <v>3224</v>
      </c>
      <c r="V1250" t="s">
        <v>72</v>
      </c>
      <c r="W1250" t="s">
        <v>1171</v>
      </c>
      <c r="X1250" t="s">
        <v>71</v>
      </c>
      <c r="Y1250" t="s">
        <v>1197</v>
      </c>
    </row>
    <row r="1251" spans="1:25">
      <c r="A1251">
        <v>13529</v>
      </c>
      <c r="B1251" t="s">
        <v>25</v>
      </c>
      <c r="C1251" t="str">
        <f t="shared" si="39"/>
        <v>INTEGRA Saloon</v>
      </c>
      <c r="D1251" t="str">
        <f t="shared" si="38"/>
        <v>1.6</v>
      </c>
      <c r="E1251" t="s">
        <v>26</v>
      </c>
      <c r="F1251">
        <v>198501</v>
      </c>
      <c r="G1251">
        <v>199012</v>
      </c>
      <c r="H1251">
        <v>74</v>
      </c>
      <c r="I1251">
        <v>100</v>
      </c>
      <c r="J1251">
        <v>1590</v>
      </c>
      <c r="K1251">
        <v>2861494</v>
      </c>
      <c r="L1251" t="s">
        <v>1181</v>
      </c>
      <c r="M1251" t="str">
        <f>"0161"</f>
        <v>0161</v>
      </c>
      <c r="N1251" t="str">
        <f>"0161"</f>
        <v>0161</v>
      </c>
      <c r="O1251" t="str">
        <f>""</f>
        <v/>
      </c>
      <c r="P1251" t="s">
        <v>1198</v>
      </c>
      <c r="Q1251" t="str">
        <f>""</f>
        <v/>
      </c>
      <c r="S1251" t="s">
        <v>1617</v>
      </c>
      <c r="U1251">
        <v>3224</v>
      </c>
      <c r="V1251" t="s">
        <v>72</v>
      </c>
      <c r="W1251" t="s">
        <v>1171</v>
      </c>
      <c r="X1251" t="s">
        <v>71</v>
      </c>
      <c r="Y1251" t="s">
        <v>1197</v>
      </c>
    </row>
    <row r="1252" spans="1:25">
      <c r="A1252">
        <v>13529</v>
      </c>
      <c r="B1252" t="s">
        <v>25</v>
      </c>
      <c r="C1252" t="str">
        <f t="shared" si="39"/>
        <v>INTEGRA Saloon</v>
      </c>
      <c r="D1252" t="str">
        <f t="shared" si="38"/>
        <v>1.6</v>
      </c>
      <c r="E1252" t="s">
        <v>26</v>
      </c>
      <c r="F1252">
        <v>198501</v>
      </c>
      <c r="G1252">
        <v>199012</v>
      </c>
      <c r="H1252">
        <v>74</v>
      </c>
      <c r="I1252">
        <v>100</v>
      </c>
      <c r="J1252">
        <v>1590</v>
      </c>
      <c r="K1252">
        <v>2861499</v>
      </c>
      <c r="L1252" t="s">
        <v>1181</v>
      </c>
      <c r="M1252" t="str">
        <f>"0183"</f>
        <v>0183</v>
      </c>
      <c r="N1252" t="str">
        <f>"0183"</f>
        <v>0183</v>
      </c>
      <c r="O1252" t="str">
        <f>""</f>
        <v/>
      </c>
      <c r="P1252" t="s">
        <v>1201</v>
      </c>
      <c r="Q1252" t="str">
        <f>""</f>
        <v/>
      </c>
      <c r="S1252" t="s">
        <v>1617</v>
      </c>
      <c r="U1252">
        <v>3224</v>
      </c>
      <c r="V1252" t="s">
        <v>72</v>
      </c>
      <c r="W1252" t="s">
        <v>1171</v>
      </c>
      <c r="X1252" t="s">
        <v>71</v>
      </c>
      <c r="Y1252" t="s">
        <v>1197</v>
      </c>
    </row>
    <row r="1253" spans="1:25">
      <c r="A1253">
        <v>13529</v>
      </c>
      <c r="B1253" t="s">
        <v>25</v>
      </c>
      <c r="C1253" t="str">
        <f t="shared" si="39"/>
        <v>INTEGRA Saloon</v>
      </c>
      <c r="D1253" t="str">
        <f t="shared" si="38"/>
        <v>1.6</v>
      </c>
      <c r="E1253" t="s">
        <v>26</v>
      </c>
      <c r="F1253">
        <v>198501</v>
      </c>
      <c r="G1253">
        <v>199012</v>
      </c>
      <c r="H1253">
        <v>74</v>
      </c>
      <c r="I1253">
        <v>100</v>
      </c>
      <c r="J1253">
        <v>1590</v>
      </c>
      <c r="K1253">
        <v>2861664</v>
      </c>
      <c r="L1253" t="s">
        <v>1181</v>
      </c>
      <c r="M1253" t="str">
        <f>"1433"</f>
        <v>1433</v>
      </c>
      <c r="N1253" t="str">
        <f>"1433"</f>
        <v>1433</v>
      </c>
      <c r="O1253" t="str">
        <f>""</f>
        <v/>
      </c>
      <c r="P1253" t="s">
        <v>1202</v>
      </c>
      <c r="Q1253" t="str">
        <f>""</f>
        <v/>
      </c>
      <c r="S1253" t="s">
        <v>1617</v>
      </c>
      <c r="U1253">
        <v>3224</v>
      </c>
      <c r="V1253" t="s">
        <v>72</v>
      </c>
      <c r="W1253" t="s">
        <v>1171</v>
      </c>
      <c r="X1253" t="s">
        <v>71</v>
      </c>
      <c r="Y1253" t="s">
        <v>1197</v>
      </c>
    </row>
    <row r="1254" spans="1:25">
      <c r="A1254">
        <v>13529</v>
      </c>
      <c r="B1254" t="s">
        <v>25</v>
      </c>
      <c r="C1254" t="str">
        <f t="shared" si="39"/>
        <v>INTEGRA Saloon</v>
      </c>
      <c r="D1254" t="str">
        <f t="shared" si="38"/>
        <v>1.6</v>
      </c>
      <c r="E1254" t="s">
        <v>26</v>
      </c>
      <c r="F1254">
        <v>198501</v>
      </c>
      <c r="G1254">
        <v>199012</v>
      </c>
      <c r="H1254">
        <v>74</v>
      </c>
      <c r="I1254">
        <v>100</v>
      </c>
      <c r="J1254">
        <v>1590</v>
      </c>
      <c r="K1254">
        <v>2861985</v>
      </c>
      <c r="L1254" t="s">
        <v>1181</v>
      </c>
      <c r="M1254" t="str">
        <f>"GTXA3B315W40"</f>
        <v>GTXA3B315W40</v>
      </c>
      <c r="N1254" t="str">
        <f>"GTX A3/B3 15W-40"</f>
        <v>GTX A3/B3 15W-40</v>
      </c>
      <c r="O1254" t="str">
        <f>""</f>
        <v/>
      </c>
      <c r="P1254" t="s">
        <v>1203</v>
      </c>
      <c r="Q1254" t="str">
        <f>""</f>
        <v/>
      </c>
      <c r="S1254" t="s">
        <v>1618</v>
      </c>
      <c r="U1254">
        <v>3224</v>
      </c>
      <c r="V1254" t="s">
        <v>72</v>
      </c>
      <c r="W1254" t="s">
        <v>1171</v>
      </c>
      <c r="X1254" t="s">
        <v>71</v>
      </c>
      <c r="Y1254" t="s">
        <v>1197</v>
      </c>
    </row>
    <row r="1255" spans="1:25">
      <c r="A1255">
        <v>13529</v>
      </c>
      <c r="B1255" t="s">
        <v>25</v>
      </c>
      <c r="C1255" t="str">
        <f t="shared" si="39"/>
        <v>INTEGRA Saloon</v>
      </c>
      <c r="D1255" t="str">
        <f t="shared" si="38"/>
        <v>1.6</v>
      </c>
      <c r="E1255" t="s">
        <v>26</v>
      </c>
      <c r="F1255">
        <v>198501</v>
      </c>
      <c r="G1255">
        <v>199012</v>
      </c>
      <c r="H1255">
        <v>74</v>
      </c>
      <c r="I1255">
        <v>100</v>
      </c>
      <c r="J1255">
        <v>1590</v>
      </c>
      <c r="K1255">
        <v>2861992</v>
      </c>
      <c r="L1255" t="s">
        <v>1181</v>
      </c>
      <c r="M1255" t="str">
        <f>"MAGNATECA15W30"</f>
        <v>MAGNATECA15W30</v>
      </c>
      <c r="N1255" t="str">
        <f>"Magnatec A1 5W-30"</f>
        <v>Magnatec A1 5W-30</v>
      </c>
      <c r="O1255" t="str">
        <f>""</f>
        <v/>
      </c>
      <c r="P1255" t="s">
        <v>1203</v>
      </c>
      <c r="Q1255" t="str">
        <f>""</f>
        <v/>
      </c>
      <c r="S1255" t="s">
        <v>1618</v>
      </c>
      <c r="U1255">
        <v>3224</v>
      </c>
      <c r="V1255" t="s">
        <v>72</v>
      </c>
      <c r="W1255" t="s">
        <v>1171</v>
      </c>
      <c r="X1255" t="s">
        <v>71</v>
      </c>
      <c r="Y1255" t="s">
        <v>1197</v>
      </c>
    </row>
    <row r="1256" spans="1:25">
      <c r="A1256">
        <v>13529</v>
      </c>
      <c r="B1256" t="s">
        <v>25</v>
      </c>
      <c r="C1256" t="str">
        <f t="shared" si="39"/>
        <v>INTEGRA Saloon</v>
      </c>
      <c r="D1256" t="str">
        <f t="shared" si="38"/>
        <v>1.6</v>
      </c>
      <c r="E1256" t="s">
        <v>26</v>
      </c>
      <c r="F1256">
        <v>198501</v>
      </c>
      <c r="G1256">
        <v>199012</v>
      </c>
      <c r="H1256">
        <v>74</v>
      </c>
      <c r="I1256">
        <v>100</v>
      </c>
      <c r="J1256">
        <v>1590</v>
      </c>
      <c r="K1256">
        <v>2861993</v>
      </c>
      <c r="L1256" t="s">
        <v>1181</v>
      </c>
      <c r="M1256" t="str">
        <f>"MAGNATECA3B410W40"</f>
        <v>MAGNATECA3B410W40</v>
      </c>
      <c r="N1256" t="str">
        <f>"Magnatec A3/B4 10W-40"</f>
        <v>Magnatec A3/B4 10W-40</v>
      </c>
      <c r="O1256" t="str">
        <f>""</f>
        <v/>
      </c>
      <c r="P1256" t="s">
        <v>1203</v>
      </c>
      <c r="Q1256" t="str">
        <f>""</f>
        <v/>
      </c>
      <c r="S1256" t="s">
        <v>1618</v>
      </c>
      <c r="U1256">
        <v>3224</v>
      </c>
      <c r="V1256" t="s">
        <v>72</v>
      </c>
      <c r="W1256" t="s">
        <v>1171</v>
      </c>
      <c r="X1256" t="s">
        <v>71</v>
      </c>
      <c r="Y1256" t="s">
        <v>1197</v>
      </c>
    </row>
    <row r="1257" spans="1:25">
      <c r="A1257">
        <v>13529</v>
      </c>
      <c r="B1257" t="s">
        <v>25</v>
      </c>
      <c r="C1257" t="str">
        <f t="shared" si="39"/>
        <v>INTEGRA Saloon</v>
      </c>
      <c r="D1257" t="str">
        <f t="shared" si="38"/>
        <v>1.6</v>
      </c>
      <c r="E1257" t="s">
        <v>26</v>
      </c>
      <c r="F1257">
        <v>198501</v>
      </c>
      <c r="G1257">
        <v>199012</v>
      </c>
      <c r="H1257">
        <v>74</v>
      </c>
      <c r="I1257">
        <v>100</v>
      </c>
      <c r="J1257">
        <v>1590</v>
      </c>
      <c r="K1257">
        <v>3634230</v>
      </c>
      <c r="L1257" t="s">
        <v>1184</v>
      </c>
      <c r="M1257" t="str">
        <f>"VTSYNTECH10W40"</f>
        <v>VTSYNTECH10W40</v>
      </c>
      <c r="N1257" t="str">
        <f>"VTSYNTECH10W40"</f>
        <v>VTSYNTECH10W40</v>
      </c>
      <c r="O1257" t="str">
        <f>""</f>
        <v/>
      </c>
      <c r="P1257" t="s">
        <v>1195</v>
      </c>
      <c r="Q1257" t="str">
        <f>""</f>
        <v/>
      </c>
      <c r="S1257" t="s">
        <v>1617</v>
      </c>
      <c r="U1257">
        <v>3224</v>
      </c>
      <c r="V1257" t="s">
        <v>72</v>
      </c>
      <c r="W1257" t="s">
        <v>1171</v>
      </c>
      <c r="X1257" t="s">
        <v>71</v>
      </c>
      <c r="Y1257" t="s">
        <v>1197</v>
      </c>
    </row>
    <row r="1258" spans="1:25">
      <c r="A1258">
        <v>13529</v>
      </c>
      <c r="B1258" t="s">
        <v>25</v>
      </c>
      <c r="C1258" t="str">
        <f t="shared" si="39"/>
        <v>INTEGRA Saloon</v>
      </c>
      <c r="D1258" t="str">
        <f t="shared" ref="D1258:D1321" si="40">"1.6"</f>
        <v>1.6</v>
      </c>
      <c r="E1258" t="s">
        <v>26</v>
      </c>
      <c r="F1258">
        <v>198501</v>
      </c>
      <c r="G1258">
        <v>199012</v>
      </c>
      <c r="H1258">
        <v>74</v>
      </c>
      <c r="I1258">
        <v>100</v>
      </c>
      <c r="J1258">
        <v>1590</v>
      </c>
      <c r="K1258">
        <v>3634249</v>
      </c>
      <c r="L1258" t="s">
        <v>1184</v>
      </c>
      <c r="M1258" t="str">
        <f>"VTTURBOPL15W40"</f>
        <v>VTTURBOPL15W40</v>
      </c>
      <c r="N1258" t="str">
        <f>"VTTURBOPL15W40"</f>
        <v>VTTURBOPL15W40</v>
      </c>
      <c r="O1258" t="str">
        <f>""</f>
        <v/>
      </c>
      <c r="P1258" t="s">
        <v>1195</v>
      </c>
      <c r="Q1258" t="str">
        <f>""</f>
        <v/>
      </c>
      <c r="S1258" t="s">
        <v>1617</v>
      </c>
      <c r="U1258">
        <v>3224</v>
      </c>
      <c r="V1258" t="s">
        <v>72</v>
      </c>
      <c r="W1258" t="s">
        <v>1171</v>
      </c>
      <c r="X1258" t="s">
        <v>71</v>
      </c>
      <c r="Y1258" t="s">
        <v>1197</v>
      </c>
    </row>
    <row r="1259" spans="1:25">
      <c r="A1259">
        <v>13529</v>
      </c>
      <c r="B1259" t="s">
        <v>25</v>
      </c>
      <c r="C1259" t="str">
        <f t="shared" si="39"/>
        <v>INTEGRA Saloon</v>
      </c>
      <c r="D1259" t="str">
        <f t="shared" si="40"/>
        <v>1.6</v>
      </c>
      <c r="E1259" t="s">
        <v>26</v>
      </c>
      <c r="F1259">
        <v>198501</v>
      </c>
      <c r="G1259">
        <v>199012</v>
      </c>
      <c r="H1259">
        <v>74</v>
      </c>
      <c r="I1259">
        <v>100</v>
      </c>
      <c r="J1259">
        <v>1590</v>
      </c>
      <c r="K1259">
        <v>3748202</v>
      </c>
      <c r="L1259" t="s">
        <v>1185</v>
      </c>
      <c r="M1259" t="str">
        <f>"E100010"</f>
        <v>E100010</v>
      </c>
      <c r="N1259" t="str">
        <f>"E100010"</f>
        <v>E100010</v>
      </c>
      <c r="O1259" t="str">
        <f>""</f>
        <v/>
      </c>
      <c r="P1259" t="s">
        <v>1205</v>
      </c>
      <c r="Q1259" t="str">
        <f>""</f>
        <v/>
      </c>
      <c r="S1259" t="s">
        <v>1619</v>
      </c>
      <c r="U1259">
        <v>3224</v>
      </c>
      <c r="V1259" t="s">
        <v>72</v>
      </c>
      <c r="W1259" t="s">
        <v>1171</v>
      </c>
      <c r="X1259" t="s">
        <v>71</v>
      </c>
      <c r="Y1259" t="s">
        <v>1197</v>
      </c>
    </row>
    <row r="1260" spans="1:25">
      <c r="A1260">
        <v>13529</v>
      </c>
      <c r="B1260" t="s">
        <v>25</v>
      </c>
      <c r="C1260" t="str">
        <f t="shared" si="39"/>
        <v>INTEGRA Saloon</v>
      </c>
      <c r="D1260" t="str">
        <f t="shared" si="40"/>
        <v>1.6</v>
      </c>
      <c r="E1260" t="s">
        <v>26</v>
      </c>
      <c r="F1260">
        <v>198501</v>
      </c>
      <c r="G1260">
        <v>199012</v>
      </c>
      <c r="H1260">
        <v>74</v>
      </c>
      <c r="I1260">
        <v>100</v>
      </c>
      <c r="J1260">
        <v>1590</v>
      </c>
      <c r="K1260">
        <v>3748207</v>
      </c>
      <c r="L1260" t="s">
        <v>1185</v>
      </c>
      <c r="M1260" t="str">
        <f>"E100020"</f>
        <v>E100020</v>
      </c>
      <c r="N1260" t="str">
        <f>"E100020"</f>
        <v>E100020</v>
      </c>
      <c r="O1260" t="str">
        <f>""</f>
        <v/>
      </c>
      <c r="P1260" t="s">
        <v>1200</v>
      </c>
      <c r="Q1260" t="str">
        <f>""</f>
        <v/>
      </c>
      <c r="S1260" t="s">
        <v>1619</v>
      </c>
      <c r="U1260">
        <v>3224</v>
      </c>
      <c r="V1260" t="s">
        <v>72</v>
      </c>
      <c r="W1260" t="s">
        <v>1171</v>
      </c>
      <c r="X1260" t="s">
        <v>71</v>
      </c>
      <c r="Y1260" t="s">
        <v>1197</v>
      </c>
    </row>
    <row r="1261" spans="1:25">
      <c r="A1261">
        <v>13529</v>
      </c>
      <c r="B1261" t="s">
        <v>25</v>
      </c>
      <c r="C1261" t="str">
        <f t="shared" si="39"/>
        <v>INTEGRA Saloon</v>
      </c>
      <c r="D1261" t="str">
        <f t="shared" si="40"/>
        <v>1.6</v>
      </c>
      <c r="E1261" t="s">
        <v>26</v>
      </c>
      <c r="F1261">
        <v>198501</v>
      </c>
      <c r="G1261">
        <v>199012</v>
      </c>
      <c r="H1261">
        <v>74</v>
      </c>
      <c r="I1261">
        <v>100</v>
      </c>
      <c r="J1261">
        <v>1590</v>
      </c>
      <c r="K1261">
        <v>3748240</v>
      </c>
      <c r="L1261" t="s">
        <v>1185</v>
      </c>
      <c r="M1261" t="str">
        <f>"E100045"</f>
        <v>E100045</v>
      </c>
      <c r="N1261" t="str">
        <f>"E100045"</f>
        <v>E100045</v>
      </c>
      <c r="O1261" t="str">
        <f>""</f>
        <v/>
      </c>
      <c r="P1261" t="s">
        <v>1200</v>
      </c>
      <c r="Q1261" t="str">
        <f>""</f>
        <v/>
      </c>
      <c r="S1261" t="s">
        <v>1617</v>
      </c>
      <c r="U1261">
        <v>3224</v>
      </c>
      <c r="V1261" t="s">
        <v>72</v>
      </c>
      <c r="W1261" t="s">
        <v>1171</v>
      </c>
      <c r="X1261" t="s">
        <v>71</v>
      </c>
      <c r="Y1261" t="s">
        <v>1197</v>
      </c>
    </row>
    <row r="1262" spans="1:25">
      <c r="A1262">
        <v>13529</v>
      </c>
      <c r="B1262" t="s">
        <v>25</v>
      </c>
      <c r="C1262" t="str">
        <f t="shared" si="39"/>
        <v>INTEGRA Saloon</v>
      </c>
      <c r="D1262" t="str">
        <f t="shared" si="40"/>
        <v>1.6</v>
      </c>
      <c r="E1262" t="s">
        <v>26</v>
      </c>
      <c r="F1262">
        <v>198501</v>
      </c>
      <c r="G1262">
        <v>199012</v>
      </c>
      <c r="H1262">
        <v>74</v>
      </c>
      <c r="I1262">
        <v>100</v>
      </c>
      <c r="J1262">
        <v>1590</v>
      </c>
      <c r="K1262">
        <v>3748367</v>
      </c>
      <c r="L1262" t="s">
        <v>1185</v>
      </c>
      <c r="M1262" t="str">
        <f>"E100096"</f>
        <v>E100096</v>
      </c>
      <c r="N1262" t="str">
        <f>"E100096"</f>
        <v>E100096</v>
      </c>
      <c r="O1262" t="str">
        <f>""</f>
        <v/>
      </c>
      <c r="P1262" t="s">
        <v>1207</v>
      </c>
      <c r="Q1262" t="str">
        <f>""</f>
        <v/>
      </c>
      <c r="S1262" t="s">
        <v>1619</v>
      </c>
      <c r="U1262">
        <v>3224</v>
      </c>
      <c r="V1262" t="s">
        <v>72</v>
      </c>
      <c r="W1262" t="s">
        <v>1171</v>
      </c>
      <c r="X1262" t="s">
        <v>71</v>
      </c>
      <c r="Y1262" t="s">
        <v>1197</v>
      </c>
    </row>
    <row r="1263" spans="1:25">
      <c r="A1263">
        <v>13529</v>
      </c>
      <c r="B1263" t="s">
        <v>25</v>
      </c>
      <c r="C1263" t="str">
        <f t="shared" si="39"/>
        <v>INTEGRA Saloon</v>
      </c>
      <c r="D1263" t="str">
        <f t="shared" si="40"/>
        <v>1.6</v>
      </c>
      <c r="E1263" t="s">
        <v>26</v>
      </c>
      <c r="F1263">
        <v>198501</v>
      </c>
      <c r="G1263">
        <v>199012</v>
      </c>
      <c r="H1263">
        <v>74</v>
      </c>
      <c r="I1263">
        <v>100</v>
      </c>
      <c r="J1263">
        <v>1590</v>
      </c>
      <c r="K1263">
        <v>3748406</v>
      </c>
      <c r="L1263" t="s">
        <v>1185</v>
      </c>
      <c r="M1263" t="str">
        <f>"E100125"</f>
        <v>E100125</v>
      </c>
      <c r="N1263" t="str">
        <f>"E100125"</f>
        <v>E100125</v>
      </c>
      <c r="O1263" t="str">
        <f>""</f>
        <v/>
      </c>
      <c r="P1263" t="s">
        <v>1207</v>
      </c>
      <c r="Q1263" t="str">
        <f>""</f>
        <v/>
      </c>
      <c r="S1263" t="s">
        <v>1619</v>
      </c>
      <c r="U1263">
        <v>3224</v>
      </c>
      <c r="V1263" t="s">
        <v>72</v>
      </c>
      <c r="W1263" t="s">
        <v>1171</v>
      </c>
      <c r="X1263" t="s">
        <v>71</v>
      </c>
      <c r="Y1263" t="s">
        <v>1197</v>
      </c>
    </row>
    <row r="1264" spans="1:25">
      <c r="A1264">
        <v>13529</v>
      </c>
      <c r="B1264" t="s">
        <v>25</v>
      </c>
      <c r="C1264" t="str">
        <f t="shared" si="39"/>
        <v>INTEGRA Saloon</v>
      </c>
      <c r="D1264" t="str">
        <f t="shared" si="40"/>
        <v>1.6</v>
      </c>
      <c r="E1264" t="s">
        <v>26</v>
      </c>
      <c r="F1264">
        <v>198501</v>
      </c>
      <c r="G1264">
        <v>199012</v>
      </c>
      <c r="H1264">
        <v>74</v>
      </c>
      <c r="I1264">
        <v>100</v>
      </c>
      <c r="J1264">
        <v>1590</v>
      </c>
      <c r="K1264">
        <v>3920221</v>
      </c>
      <c r="L1264" t="s">
        <v>1187</v>
      </c>
      <c r="M1264" t="str">
        <f>"11500"</f>
        <v>11500</v>
      </c>
      <c r="N1264" t="str">
        <f>"11500"</f>
        <v>11500</v>
      </c>
      <c r="O1264" t="str">
        <f>""</f>
        <v/>
      </c>
      <c r="P1264" t="s">
        <v>1198</v>
      </c>
      <c r="Q1264" t="str">
        <f>""</f>
        <v/>
      </c>
      <c r="S1264" t="s">
        <v>1620</v>
      </c>
      <c r="U1264">
        <v>3224</v>
      </c>
      <c r="V1264" t="s">
        <v>72</v>
      </c>
      <c r="W1264" t="s">
        <v>1171</v>
      </c>
      <c r="X1264" t="s">
        <v>71</v>
      </c>
      <c r="Y1264" t="s">
        <v>1197</v>
      </c>
    </row>
    <row r="1265" spans="1:25">
      <c r="A1265">
        <v>13529</v>
      </c>
      <c r="B1265" t="s">
        <v>25</v>
      </c>
      <c r="C1265" t="str">
        <f t="shared" si="39"/>
        <v>INTEGRA Saloon</v>
      </c>
      <c r="D1265" t="str">
        <f t="shared" si="40"/>
        <v>1.6</v>
      </c>
      <c r="E1265" t="s">
        <v>26</v>
      </c>
      <c r="F1265">
        <v>198501</v>
      </c>
      <c r="G1265">
        <v>199012</v>
      </c>
      <c r="H1265">
        <v>74</v>
      </c>
      <c r="I1265">
        <v>100</v>
      </c>
      <c r="J1265">
        <v>1590</v>
      </c>
      <c r="K1265">
        <v>3920231</v>
      </c>
      <c r="L1265" t="s">
        <v>1187</v>
      </c>
      <c r="M1265" t="str">
        <f>"14300"</f>
        <v>14300</v>
      </c>
      <c r="N1265" t="str">
        <f>"14300"</f>
        <v>14300</v>
      </c>
      <c r="O1265" t="str">
        <f>""</f>
        <v/>
      </c>
      <c r="P1265" t="s">
        <v>1198</v>
      </c>
      <c r="Q1265" t="str">
        <f>""</f>
        <v/>
      </c>
      <c r="S1265" t="s">
        <v>1620</v>
      </c>
      <c r="U1265">
        <v>3224</v>
      </c>
      <c r="V1265" t="s">
        <v>72</v>
      </c>
      <c r="W1265" t="s">
        <v>1171</v>
      </c>
      <c r="X1265" t="s">
        <v>71</v>
      </c>
      <c r="Y1265" t="s">
        <v>1197</v>
      </c>
    </row>
    <row r="1266" spans="1:25">
      <c r="A1266">
        <v>13529</v>
      </c>
      <c r="B1266" t="s">
        <v>25</v>
      </c>
      <c r="C1266" t="str">
        <f t="shared" si="39"/>
        <v>INTEGRA Saloon</v>
      </c>
      <c r="D1266" t="str">
        <f t="shared" si="40"/>
        <v>1.6</v>
      </c>
      <c r="E1266" t="s">
        <v>26</v>
      </c>
      <c r="F1266">
        <v>198501</v>
      </c>
      <c r="G1266">
        <v>199012</v>
      </c>
      <c r="H1266">
        <v>74</v>
      </c>
      <c r="I1266">
        <v>100</v>
      </c>
      <c r="J1266">
        <v>1590</v>
      </c>
      <c r="K1266">
        <v>3920233</v>
      </c>
      <c r="L1266" t="s">
        <v>1187</v>
      </c>
      <c r="M1266" t="str">
        <f>"14600"</f>
        <v>14600</v>
      </c>
      <c r="N1266" t="str">
        <f>"14600"</f>
        <v>14600</v>
      </c>
      <c r="O1266" t="str">
        <f>""</f>
        <v/>
      </c>
      <c r="P1266" t="s">
        <v>1209</v>
      </c>
      <c r="Q1266" t="str">
        <f>""</f>
        <v/>
      </c>
      <c r="S1266" t="s">
        <v>1620</v>
      </c>
      <c r="U1266">
        <v>3224</v>
      </c>
      <c r="V1266" t="s">
        <v>72</v>
      </c>
      <c r="W1266" t="s">
        <v>1171</v>
      </c>
      <c r="X1266" t="s">
        <v>71</v>
      </c>
      <c r="Y1266" t="s">
        <v>1197</v>
      </c>
    </row>
    <row r="1267" spans="1:25">
      <c r="A1267">
        <v>13529</v>
      </c>
      <c r="B1267" t="s">
        <v>25</v>
      </c>
      <c r="C1267" t="str">
        <f t="shared" si="39"/>
        <v>INTEGRA Saloon</v>
      </c>
      <c r="D1267" t="str">
        <f t="shared" si="40"/>
        <v>1.6</v>
      </c>
      <c r="E1267" t="s">
        <v>26</v>
      </c>
      <c r="F1267">
        <v>198501</v>
      </c>
      <c r="G1267">
        <v>199012</v>
      </c>
      <c r="H1267">
        <v>74</v>
      </c>
      <c r="I1267">
        <v>100</v>
      </c>
      <c r="J1267">
        <v>1590</v>
      </c>
      <c r="K1267">
        <v>3920235</v>
      </c>
      <c r="L1267" t="s">
        <v>1187</v>
      </c>
      <c r="M1267" t="str">
        <f>"16100"</f>
        <v>16100</v>
      </c>
      <c r="N1267" t="str">
        <f>"16100"</f>
        <v>16100</v>
      </c>
      <c r="O1267" t="str">
        <f>""</f>
        <v/>
      </c>
      <c r="P1267" t="s">
        <v>1198</v>
      </c>
      <c r="Q1267" t="str">
        <f>""</f>
        <v/>
      </c>
      <c r="S1267" t="s">
        <v>1620</v>
      </c>
      <c r="U1267">
        <v>3224</v>
      </c>
      <c r="V1267" t="s">
        <v>72</v>
      </c>
      <c r="W1267" t="s">
        <v>1171</v>
      </c>
      <c r="X1267" t="s">
        <v>71</v>
      </c>
      <c r="Y1267" t="s">
        <v>1197</v>
      </c>
    </row>
    <row r="1268" spans="1:25">
      <c r="A1268">
        <v>13529</v>
      </c>
      <c r="B1268" t="s">
        <v>25</v>
      </c>
      <c r="C1268" t="str">
        <f t="shared" si="39"/>
        <v>INTEGRA Saloon</v>
      </c>
      <c r="D1268" t="str">
        <f t="shared" si="40"/>
        <v>1.6</v>
      </c>
      <c r="E1268" t="s">
        <v>26</v>
      </c>
      <c r="F1268">
        <v>198501</v>
      </c>
      <c r="G1268">
        <v>199012</v>
      </c>
      <c r="H1268">
        <v>74</v>
      </c>
      <c r="I1268">
        <v>100</v>
      </c>
      <c r="J1268">
        <v>1590</v>
      </c>
      <c r="K1268">
        <v>4083935</v>
      </c>
      <c r="L1268" t="s">
        <v>1190</v>
      </c>
      <c r="M1268" t="str">
        <f>"1112110"</f>
        <v>1112110</v>
      </c>
      <c r="N1268" t="str">
        <f>"1112110"</f>
        <v>1112110</v>
      </c>
      <c r="O1268" t="str">
        <f>""</f>
        <v/>
      </c>
      <c r="P1268" t="s">
        <v>1203</v>
      </c>
      <c r="Q1268" t="str">
        <f>""</f>
        <v/>
      </c>
      <c r="R1268" s="1" t="s">
        <v>1210</v>
      </c>
      <c r="S1268" t="s">
        <v>1617</v>
      </c>
      <c r="T1268" s="1" t="s">
        <v>1211</v>
      </c>
      <c r="U1268">
        <v>3224</v>
      </c>
      <c r="V1268" t="s">
        <v>72</v>
      </c>
      <c r="W1268" t="s">
        <v>1171</v>
      </c>
      <c r="X1268" t="s">
        <v>71</v>
      </c>
      <c r="Y1268" t="s">
        <v>1197</v>
      </c>
    </row>
    <row r="1269" spans="1:25">
      <c r="A1269">
        <v>13529</v>
      </c>
      <c r="B1269" t="s">
        <v>25</v>
      </c>
      <c r="C1269" t="str">
        <f t="shared" si="39"/>
        <v>INTEGRA Saloon</v>
      </c>
      <c r="D1269" t="str">
        <f t="shared" si="40"/>
        <v>1.6</v>
      </c>
      <c r="E1269" t="s">
        <v>26</v>
      </c>
      <c r="F1269">
        <v>198501</v>
      </c>
      <c r="G1269">
        <v>199012</v>
      </c>
      <c r="H1269">
        <v>74</v>
      </c>
      <c r="I1269">
        <v>100</v>
      </c>
      <c r="J1269">
        <v>1590</v>
      </c>
      <c r="K1269">
        <v>4971186</v>
      </c>
      <c r="L1269" t="s">
        <v>1212</v>
      </c>
      <c r="M1269" t="str">
        <f>"500090"</f>
        <v>500090</v>
      </c>
      <c r="N1269" t="str">
        <f>"500090"</f>
        <v>500090</v>
      </c>
      <c r="O1269" t="str">
        <f>""</f>
        <v/>
      </c>
      <c r="P1269" t="s">
        <v>1195</v>
      </c>
      <c r="Q1269" t="str">
        <f>""</f>
        <v/>
      </c>
      <c r="U1269">
        <v>3224</v>
      </c>
      <c r="V1269" t="s">
        <v>72</v>
      </c>
      <c r="W1269" t="s">
        <v>1171</v>
      </c>
      <c r="X1269" t="s">
        <v>71</v>
      </c>
      <c r="Y1269" t="s">
        <v>1197</v>
      </c>
    </row>
    <row r="1270" spans="1:25">
      <c r="A1270">
        <v>13529</v>
      </c>
      <c r="B1270" t="s">
        <v>25</v>
      </c>
      <c r="C1270" t="str">
        <f t="shared" si="39"/>
        <v>INTEGRA Saloon</v>
      </c>
      <c r="D1270" t="str">
        <f t="shared" si="40"/>
        <v>1.6</v>
      </c>
      <c r="E1270" t="s">
        <v>26</v>
      </c>
      <c r="F1270">
        <v>198501</v>
      </c>
      <c r="G1270">
        <v>199012</v>
      </c>
      <c r="H1270">
        <v>74</v>
      </c>
      <c r="I1270">
        <v>100</v>
      </c>
      <c r="J1270">
        <v>1590</v>
      </c>
      <c r="K1270">
        <v>4971260</v>
      </c>
      <c r="L1270" t="s">
        <v>1212</v>
      </c>
      <c r="M1270" t="str">
        <f>"500521"</f>
        <v>500521</v>
      </c>
      <c r="N1270" t="str">
        <f>"500521"</f>
        <v>500521</v>
      </c>
      <c r="O1270" t="str">
        <f>""</f>
        <v/>
      </c>
      <c r="P1270" t="s">
        <v>1195</v>
      </c>
      <c r="Q1270" t="str">
        <f>""</f>
        <v/>
      </c>
      <c r="U1270">
        <v>3224</v>
      </c>
      <c r="V1270" t="s">
        <v>72</v>
      </c>
      <c r="W1270" t="s">
        <v>1171</v>
      </c>
      <c r="X1270" t="s">
        <v>71</v>
      </c>
      <c r="Y1270" t="s">
        <v>1197</v>
      </c>
    </row>
    <row r="1271" spans="1:25">
      <c r="A1271">
        <v>13529</v>
      </c>
      <c r="B1271" t="s">
        <v>25</v>
      </c>
      <c r="C1271" t="str">
        <f t="shared" si="39"/>
        <v>INTEGRA Saloon</v>
      </c>
      <c r="D1271" t="str">
        <f t="shared" si="40"/>
        <v>1.6</v>
      </c>
      <c r="E1271" t="s">
        <v>26</v>
      </c>
      <c r="F1271">
        <v>198501</v>
      </c>
      <c r="G1271">
        <v>199012</v>
      </c>
      <c r="H1271">
        <v>74</v>
      </c>
      <c r="I1271">
        <v>100</v>
      </c>
      <c r="J1271">
        <v>1590</v>
      </c>
      <c r="K1271">
        <v>4971268</v>
      </c>
      <c r="L1271" t="s">
        <v>1212</v>
      </c>
      <c r="M1271" t="str">
        <f>"500591"</f>
        <v>500591</v>
      </c>
      <c r="N1271" t="str">
        <f>"500591"</f>
        <v>500591</v>
      </c>
      <c r="O1271" t="str">
        <f>""</f>
        <v/>
      </c>
      <c r="P1271" t="s">
        <v>1195</v>
      </c>
      <c r="Q1271" t="str">
        <f>""</f>
        <v/>
      </c>
      <c r="U1271">
        <v>3224</v>
      </c>
      <c r="V1271" t="s">
        <v>72</v>
      </c>
      <c r="W1271" t="s">
        <v>1171</v>
      </c>
      <c r="X1271" t="s">
        <v>71</v>
      </c>
      <c r="Y1271" t="s">
        <v>1197</v>
      </c>
    </row>
    <row r="1272" spans="1:25">
      <c r="A1272">
        <v>13529</v>
      </c>
      <c r="B1272" t="s">
        <v>25</v>
      </c>
      <c r="C1272" t="str">
        <f t="shared" si="39"/>
        <v>INTEGRA Saloon</v>
      </c>
      <c r="D1272" t="str">
        <f t="shared" si="40"/>
        <v>1.6</v>
      </c>
      <c r="E1272" t="s">
        <v>26</v>
      </c>
      <c r="F1272">
        <v>198501</v>
      </c>
      <c r="G1272">
        <v>199012</v>
      </c>
      <c r="H1272">
        <v>74</v>
      </c>
      <c r="I1272">
        <v>100</v>
      </c>
      <c r="J1272">
        <v>1590</v>
      </c>
      <c r="K1272">
        <v>4971282</v>
      </c>
      <c r="L1272" t="s">
        <v>1212</v>
      </c>
      <c r="M1272" t="str">
        <f>"501100"</f>
        <v>501100</v>
      </c>
      <c r="N1272" t="str">
        <f>"501100"</f>
        <v>501100</v>
      </c>
      <c r="O1272" t="str">
        <f>""</f>
        <v/>
      </c>
      <c r="P1272" t="s">
        <v>1195</v>
      </c>
      <c r="Q1272" t="str">
        <f>""</f>
        <v/>
      </c>
      <c r="U1272">
        <v>3224</v>
      </c>
      <c r="V1272" t="s">
        <v>72</v>
      </c>
      <c r="W1272" t="s">
        <v>1171</v>
      </c>
      <c r="X1272" t="s">
        <v>71</v>
      </c>
      <c r="Y1272" t="s">
        <v>1197</v>
      </c>
    </row>
    <row r="1273" spans="1:25">
      <c r="A1273">
        <v>13529</v>
      </c>
      <c r="B1273" t="s">
        <v>25</v>
      </c>
      <c r="C1273" t="str">
        <f t="shared" si="39"/>
        <v>INTEGRA Saloon</v>
      </c>
      <c r="D1273" t="str">
        <f t="shared" si="40"/>
        <v>1.6</v>
      </c>
      <c r="E1273" t="s">
        <v>26</v>
      </c>
      <c r="F1273">
        <v>198501</v>
      </c>
      <c r="G1273">
        <v>199012</v>
      </c>
      <c r="H1273">
        <v>74</v>
      </c>
      <c r="I1273">
        <v>100</v>
      </c>
      <c r="J1273">
        <v>1590</v>
      </c>
      <c r="K1273">
        <v>4971375</v>
      </c>
      <c r="L1273" t="s">
        <v>1212</v>
      </c>
      <c r="M1273" t="str">
        <f>"501881"</f>
        <v>501881</v>
      </c>
      <c r="N1273" t="str">
        <f>"501881"</f>
        <v>501881</v>
      </c>
      <c r="O1273" t="str">
        <f>""</f>
        <v/>
      </c>
      <c r="P1273" t="s">
        <v>1195</v>
      </c>
      <c r="Q1273" t="str">
        <f>""</f>
        <v/>
      </c>
      <c r="U1273">
        <v>3224</v>
      </c>
      <c r="V1273" t="s">
        <v>72</v>
      </c>
      <c r="W1273" t="s">
        <v>1171</v>
      </c>
      <c r="X1273" t="s">
        <v>71</v>
      </c>
      <c r="Y1273" t="s">
        <v>1197</v>
      </c>
    </row>
    <row r="1274" spans="1:25">
      <c r="A1274">
        <v>13529</v>
      </c>
      <c r="B1274" t="s">
        <v>25</v>
      </c>
      <c r="C1274" t="str">
        <f t="shared" si="39"/>
        <v>INTEGRA Saloon</v>
      </c>
      <c r="D1274" t="str">
        <f t="shared" si="40"/>
        <v>1.6</v>
      </c>
      <c r="E1274" t="s">
        <v>26</v>
      </c>
      <c r="F1274">
        <v>198501</v>
      </c>
      <c r="G1274">
        <v>199012</v>
      </c>
      <c r="H1274">
        <v>74</v>
      </c>
      <c r="I1274">
        <v>100</v>
      </c>
      <c r="J1274">
        <v>1590</v>
      </c>
      <c r="K1274">
        <v>4971380</v>
      </c>
      <c r="L1274" t="s">
        <v>1212</v>
      </c>
      <c r="M1274" t="str">
        <f>"501937"</f>
        <v>501937</v>
      </c>
      <c r="N1274" t="str">
        <f>"501937"</f>
        <v>501937</v>
      </c>
      <c r="O1274" t="str">
        <f>""</f>
        <v/>
      </c>
      <c r="P1274" t="s">
        <v>1195</v>
      </c>
      <c r="Q1274" t="str">
        <f>""</f>
        <v/>
      </c>
      <c r="U1274">
        <v>3224</v>
      </c>
      <c r="V1274" t="s">
        <v>72</v>
      </c>
      <c r="W1274" t="s">
        <v>1171</v>
      </c>
      <c r="X1274" t="s">
        <v>71</v>
      </c>
      <c r="Y1274" t="s">
        <v>1197</v>
      </c>
    </row>
    <row r="1275" spans="1:25">
      <c r="A1275">
        <v>13529</v>
      </c>
      <c r="B1275" t="s">
        <v>25</v>
      </c>
      <c r="C1275" t="str">
        <f t="shared" si="39"/>
        <v>INTEGRA Saloon</v>
      </c>
      <c r="D1275" t="str">
        <f t="shared" si="40"/>
        <v>1.6</v>
      </c>
      <c r="E1275" t="s">
        <v>26</v>
      </c>
      <c r="F1275">
        <v>198501</v>
      </c>
      <c r="G1275">
        <v>199012</v>
      </c>
      <c r="H1275">
        <v>74</v>
      </c>
      <c r="I1275">
        <v>100</v>
      </c>
      <c r="J1275">
        <v>1590</v>
      </c>
      <c r="K1275">
        <v>750298</v>
      </c>
      <c r="L1275" t="s">
        <v>1173</v>
      </c>
      <c r="M1275" t="str">
        <f>"TRONIC15W40"</f>
        <v>TRONIC15W40</v>
      </c>
      <c r="N1275" t="str">
        <f>"Tronic 15W-40"</f>
        <v>Tronic 15W-40</v>
      </c>
      <c r="O1275" t="str">
        <f>""</f>
        <v/>
      </c>
      <c r="P1275" t="s">
        <v>1198</v>
      </c>
      <c r="Q1275" t="str">
        <f>""</f>
        <v/>
      </c>
      <c r="S1275" t="s">
        <v>1213</v>
      </c>
      <c r="U1275">
        <v>3225</v>
      </c>
      <c r="V1275" t="s">
        <v>1214</v>
      </c>
      <c r="W1275" t="s">
        <v>1171</v>
      </c>
      <c r="X1275" t="s">
        <v>1215</v>
      </c>
      <c r="Y1275" t="s">
        <v>1215</v>
      </c>
    </row>
    <row r="1276" spans="1:25">
      <c r="A1276">
        <v>13529</v>
      </c>
      <c r="B1276" t="s">
        <v>25</v>
      </c>
      <c r="C1276" t="str">
        <f t="shared" si="39"/>
        <v>INTEGRA Saloon</v>
      </c>
      <c r="D1276" t="str">
        <f t="shared" si="40"/>
        <v>1.6</v>
      </c>
      <c r="E1276" t="s">
        <v>26</v>
      </c>
      <c r="F1276">
        <v>198501</v>
      </c>
      <c r="G1276">
        <v>199012</v>
      </c>
      <c r="H1276">
        <v>74</v>
      </c>
      <c r="I1276">
        <v>100</v>
      </c>
      <c r="J1276">
        <v>1590</v>
      </c>
      <c r="K1276">
        <v>2861463</v>
      </c>
      <c r="L1276" t="s">
        <v>1181</v>
      </c>
      <c r="M1276" t="str">
        <f>"0078"</f>
        <v>0078</v>
      </c>
      <c r="N1276" t="str">
        <f>"0078"</f>
        <v>0078</v>
      </c>
      <c r="O1276" t="str">
        <f>""</f>
        <v/>
      </c>
      <c r="P1276" t="s">
        <v>1201</v>
      </c>
      <c r="Q1276" t="str">
        <f>""</f>
        <v/>
      </c>
      <c r="S1276" t="s">
        <v>1213</v>
      </c>
      <c r="U1276">
        <v>3225</v>
      </c>
      <c r="V1276" t="s">
        <v>1214</v>
      </c>
      <c r="W1276" t="s">
        <v>1171</v>
      </c>
      <c r="X1276" t="s">
        <v>1215</v>
      </c>
      <c r="Y1276" t="s">
        <v>1215</v>
      </c>
    </row>
    <row r="1277" spans="1:25">
      <c r="A1277">
        <v>13529</v>
      </c>
      <c r="B1277" t="s">
        <v>25</v>
      </c>
      <c r="C1277" t="str">
        <f t="shared" si="39"/>
        <v>INTEGRA Saloon</v>
      </c>
      <c r="D1277" t="str">
        <f t="shared" si="40"/>
        <v>1.6</v>
      </c>
      <c r="E1277" t="s">
        <v>26</v>
      </c>
      <c r="F1277">
        <v>198501</v>
      </c>
      <c r="G1277">
        <v>199012</v>
      </c>
      <c r="H1277">
        <v>74</v>
      </c>
      <c r="I1277">
        <v>100</v>
      </c>
      <c r="J1277">
        <v>1590</v>
      </c>
      <c r="K1277">
        <v>2861469</v>
      </c>
      <c r="L1277" t="s">
        <v>1181</v>
      </c>
      <c r="M1277" t="str">
        <f>"0080"</f>
        <v>0080</v>
      </c>
      <c r="N1277" t="str">
        <f>"0080"</f>
        <v>0080</v>
      </c>
      <c r="O1277" t="str">
        <f>""</f>
        <v/>
      </c>
      <c r="P1277" t="s">
        <v>1198</v>
      </c>
      <c r="Q1277" t="str">
        <f>""</f>
        <v/>
      </c>
      <c r="S1277" t="s">
        <v>1213</v>
      </c>
      <c r="U1277">
        <v>3225</v>
      </c>
      <c r="V1277" t="s">
        <v>1214</v>
      </c>
      <c r="W1277" t="s">
        <v>1171</v>
      </c>
      <c r="X1277" t="s">
        <v>1215</v>
      </c>
      <c r="Y1277" t="s">
        <v>1215</v>
      </c>
    </row>
    <row r="1278" spans="1:25">
      <c r="A1278">
        <v>13529</v>
      </c>
      <c r="B1278" t="s">
        <v>25</v>
      </c>
      <c r="C1278" t="str">
        <f t="shared" si="39"/>
        <v>INTEGRA Saloon</v>
      </c>
      <c r="D1278" t="str">
        <f t="shared" si="40"/>
        <v>1.6</v>
      </c>
      <c r="E1278" t="s">
        <v>26</v>
      </c>
      <c r="F1278">
        <v>198501</v>
      </c>
      <c r="G1278">
        <v>199012</v>
      </c>
      <c r="H1278">
        <v>74</v>
      </c>
      <c r="I1278">
        <v>100</v>
      </c>
      <c r="J1278">
        <v>1590</v>
      </c>
      <c r="K1278">
        <v>2861478</v>
      </c>
      <c r="L1278" t="s">
        <v>1181</v>
      </c>
      <c r="M1278" t="str">
        <f>"0082"</f>
        <v>0082</v>
      </c>
      <c r="N1278" t="str">
        <f>"0082"</f>
        <v>0082</v>
      </c>
      <c r="O1278" t="str">
        <f>""</f>
        <v/>
      </c>
      <c r="P1278" t="s">
        <v>1198</v>
      </c>
      <c r="Q1278" t="str">
        <f>""</f>
        <v/>
      </c>
      <c r="S1278" t="s">
        <v>1213</v>
      </c>
      <c r="U1278">
        <v>3225</v>
      </c>
      <c r="V1278" t="s">
        <v>1214</v>
      </c>
      <c r="W1278" t="s">
        <v>1171</v>
      </c>
      <c r="X1278" t="s">
        <v>1215</v>
      </c>
      <c r="Y1278" t="s">
        <v>1215</v>
      </c>
    </row>
    <row r="1279" spans="1:25">
      <c r="A1279">
        <v>13529</v>
      </c>
      <c r="B1279" t="s">
        <v>25</v>
      </c>
      <c r="C1279" t="str">
        <f t="shared" si="39"/>
        <v>INTEGRA Saloon</v>
      </c>
      <c r="D1279" t="str">
        <f t="shared" si="40"/>
        <v>1.6</v>
      </c>
      <c r="E1279" t="s">
        <v>26</v>
      </c>
      <c r="F1279">
        <v>198501</v>
      </c>
      <c r="G1279">
        <v>199012</v>
      </c>
      <c r="H1279">
        <v>74</v>
      </c>
      <c r="I1279">
        <v>100</v>
      </c>
      <c r="J1279">
        <v>1590</v>
      </c>
      <c r="K1279">
        <v>2861494</v>
      </c>
      <c r="L1279" t="s">
        <v>1181</v>
      </c>
      <c r="M1279" t="str">
        <f>"0161"</f>
        <v>0161</v>
      </c>
      <c r="N1279" t="str">
        <f>"0161"</f>
        <v>0161</v>
      </c>
      <c r="O1279" t="str">
        <f>""</f>
        <v/>
      </c>
      <c r="P1279" t="s">
        <v>1198</v>
      </c>
      <c r="Q1279" t="str">
        <f>""</f>
        <v/>
      </c>
      <c r="S1279" t="s">
        <v>1213</v>
      </c>
      <c r="U1279">
        <v>3225</v>
      </c>
      <c r="V1279" t="s">
        <v>1214</v>
      </c>
      <c r="W1279" t="s">
        <v>1171</v>
      </c>
      <c r="X1279" t="s">
        <v>1215</v>
      </c>
      <c r="Y1279" t="s">
        <v>1215</v>
      </c>
    </row>
    <row r="1280" spans="1:25">
      <c r="A1280">
        <v>13529</v>
      </c>
      <c r="B1280" t="s">
        <v>25</v>
      </c>
      <c r="C1280" t="str">
        <f t="shared" si="39"/>
        <v>INTEGRA Saloon</v>
      </c>
      <c r="D1280" t="str">
        <f t="shared" si="40"/>
        <v>1.6</v>
      </c>
      <c r="E1280" t="s">
        <v>26</v>
      </c>
      <c r="F1280">
        <v>198501</v>
      </c>
      <c r="G1280">
        <v>199012</v>
      </c>
      <c r="H1280">
        <v>74</v>
      </c>
      <c r="I1280">
        <v>100</v>
      </c>
      <c r="J1280">
        <v>1590</v>
      </c>
      <c r="K1280">
        <v>2861499</v>
      </c>
      <c r="L1280" t="s">
        <v>1181</v>
      </c>
      <c r="M1280" t="str">
        <f>"0183"</f>
        <v>0183</v>
      </c>
      <c r="N1280" t="str">
        <f>"0183"</f>
        <v>0183</v>
      </c>
      <c r="O1280" t="str">
        <f>""</f>
        <v/>
      </c>
      <c r="P1280" t="s">
        <v>1201</v>
      </c>
      <c r="Q1280" t="str">
        <f>""</f>
        <v/>
      </c>
      <c r="S1280" t="s">
        <v>1213</v>
      </c>
      <c r="U1280">
        <v>3225</v>
      </c>
      <c r="V1280" t="s">
        <v>1214</v>
      </c>
      <c r="W1280" t="s">
        <v>1171</v>
      </c>
      <c r="X1280" t="s">
        <v>1215</v>
      </c>
      <c r="Y1280" t="s">
        <v>1215</v>
      </c>
    </row>
    <row r="1281" spans="1:25">
      <c r="A1281">
        <v>13529</v>
      </c>
      <c r="B1281" t="s">
        <v>25</v>
      </c>
      <c r="C1281" t="str">
        <f t="shared" si="39"/>
        <v>INTEGRA Saloon</v>
      </c>
      <c r="D1281" t="str">
        <f t="shared" si="40"/>
        <v>1.6</v>
      </c>
      <c r="E1281" t="s">
        <v>26</v>
      </c>
      <c r="F1281">
        <v>198501</v>
      </c>
      <c r="G1281">
        <v>199012</v>
      </c>
      <c r="H1281">
        <v>74</v>
      </c>
      <c r="I1281">
        <v>100</v>
      </c>
      <c r="J1281">
        <v>1590</v>
      </c>
      <c r="K1281">
        <v>2861659</v>
      </c>
      <c r="L1281" t="s">
        <v>1181</v>
      </c>
      <c r="M1281" t="str">
        <f>"1430"</f>
        <v>1430</v>
      </c>
      <c r="N1281" t="str">
        <f>"1430"</f>
        <v>1430</v>
      </c>
      <c r="O1281" t="str">
        <f>""</f>
        <v/>
      </c>
      <c r="P1281" t="s">
        <v>1198</v>
      </c>
      <c r="Q1281" t="str">
        <f>""</f>
        <v/>
      </c>
      <c r="S1281" t="s">
        <v>1213</v>
      </c>
      <c r="U1281">
        <v>3225</v>
      </c>
      <c r="V1281" t="s">
        <v>1214</v>
      </c>
      <c r="W1281" t="s">
        <v>1171</v>
      </c>
      <c r="X1281" t="s">
        <v>1215</v>
      </c>
      <c r="Y1281" t="s">
        <v>1215</v>
      </c>
    </row>
    <row r="1282" spans="1:25">
      <c r="A1282">
        <v>13529</v>
      </c>
      <c r="B1282" t="s">
        <v>25</v>
      </c>
      <c r="C1282" t="str">
        <f t="shared" ref="C1282:C1345" si="41">"INTEGRA Saloon"</f>
        <v>INTEGRA Saloon</v>
      </c>
      <c r="D1282" t="str">
        <f t="shared" si="40"/>
        <v>1.6</v>
      </c>
      <c r="E1282" t="s">
        <v>26</v>
      </c>
      <c r="F1282">
        <v>198501</v>
      </c>
      <c r="G1282">
        <v>199012</v>
      </c>
      <c r="H1282">
        <v>74</v>
      </c>
      <c r="I1282">
        <v>100</v>
      </c>
      <c r="J1282">
        <v>1590</v>
      </c>
      <c r="K1282">
        <v>2861992</v>
      </c>
      <c r="L1282" t="s">
        <v>1181</v>
      </c>
      <c r="M1282" t="str">
        <f>"MAGNATECA15W30"</f>
        <v>MAGNATECA15W30</v>
      </c>
      <c r="N1282" t="str">
        <f>"Magnatec A1 5W-30"</f>
        <v>Magnatec A1 5W-30</v>
      </c>
      <c r="O1282" t="str">
        <f>""</f>
        <v/>
      </c>
      <c r="P1282" t="s">
        <v>1203</v>
      </c>
      <c r="Q1282" t="str">
        <f>""</f>
        <v/>
      </c>
      <c r="S1282" t="s">
        <v>1216</v>
      </c>
      <c r="U1282">
        <v>3225</v>
      </c>
      <c r="V1282" t="s">
        <v>1214</v>
      </c>
      <c r="W1282" t="s">
        <v>1171</v>
      </c>
      <c r="X1282" t="s">
        <v>1215</v>
      </c>
      <c r="Y1282" t="s">
        <v>1215</v>
      </c>
    </row>
    <row r="1283" spans="1:25">
      <c r="A1283">
        <v>13529</v>
      </c>
      <c r="B1283" t="s">
        <v>25</v>
      </c>
      <c r="C1283" t="str">
        <f t="shared" si="41"/>
        <v>INTEGRA Saloon</v>
      </c>
      <c r="D1283" t="str">
        <f t="shared" si="40"/>
        <v>1.6</v>
      </c>
      <c r="E1283" t="s">
        <v>26</v>
      </c>
      <c r="F1283">
        <v>198501</v>
      </c>
      <c r="G1283">
        <v>199012</v>
      </c>
      <c r="H1283">
        <v>74</v>
      </c>
      <c r="I1283">
        <v>100</v>
      </c>
      <c r="J1283">
        <v>1590</v>
      </c>
      <c r="K1283">
        <v>2861993</v>
      </c>
      <c r="L1283" t="s">
        <v>1181</v>
      </c>
      <c r="M1283" t="str">
        <f>"MAGNATECA3B410W40"</f>
        <v>MAGNATECA3B410W40</v>
      </c>
      <c r="N1283" t="str">
        <f>"Magnatec A3/B4 10W-40"</f>
        <v>Magnatec A3/B4 10W-40</v>
      </c>
      <c r="O1283" t="str">
        <f>""</f>
        <v/>
      </c>
      <c r="P1283" t="s">
        <v>1203</v>
      </c>
      <c r="Q1283" t="str">
        <f>""</f>
        <v/>
      </c>
      <c r="S1283" t="s">
        <v>1216</v>
      </c>
      <c r="U1283">
        <v>3225</v>
      </c>
      <c r="V1283" t="s">
        <v>1214</v>
      </c>
      <c r="W1283" t="s">
        <v>1171</v>
      </c>
      <c r="X1283" t="s">
        <v>1215</v>
      </c>
      <c r="Y1283" t="s">
        <v>1215</v>
      </c>
    </row>
    <row r="1284" spans="1:25">
      <c r="A1284">
        <v>13529</v>
      </c>
      <c r="B1284" t="s">
        <v>25</v>
      </c>
      <c r="C1284" t="str">
        <f t="shared" si="41"/>
        <v>INTEGRA Saloon</v>
      </c>
      <c r="D1284" t="str">
        <f t="shared" si="40"/>
        <v>1.6</v>
      </c>
      <c r="E1284" t="s">
        <v>26</v>
      </c>
      <c r="F1284">
        <v>198501</v>
      </c>
      <c r="G1284">
        <v>199012</v>
      </c>
      <c r="H1284">
        <v>74</v>
      </c>
      <c r="I1284">
        <v>100</v>
      </c>
      <c r="J1284">
        <v>1590</v>
      </c>
      <c r="K1284">
        <v>3748202</v>
      </c>
      <c r="L1284" t="s">
        <v>1185</v>
      </c>
      <c r="M1284" t="str">
        <f>"E100010"</f>
        <v>E100010</v>
      </c>
      <c r="N1284" t="str">
        <f>"E100010"</f>
        <v>E100010</v>
      </c>
      <c r="O1284" t="str">
        <f>""</f>
        <v/>
      </c>
      <c r="P1284" t="s">
        <v>1205</v>
      </c>
      <c r="Q1284" t="str">
        <f>""</f>
        <v/>
      </c>
      <c r="S1284" t="s">
        <v>1621</v>
      </c>
      <c r="U1284">
        <v>3225</v>
      </c>
      <c r="V1284" t="s">
        <v>1214</v>
      </c>
      <c r="W1284" t="s">
        <v>1171</v>
      </c>
      <c r="X1284" t="s">
        <v>1215</v>
      </c>
      <c r="Y1284" t="s">
        <v>1215</v>
      </c>
    </row>
    <row r="1285" spans="1:25">
      <c r="A1285">
        <v>13529</v>
      </c>
      <c r="B1285" t="s">
        <v>25</v>
      </c>
      <c r="C1285" t="str">
        <f t="shared" si="41"/>
        <v>INTEGRA Saloon</v>
      </c>
      <c r="D1285" t="str">
        <f t="shared" si="40"/>
        <v>1.6</v>
      </c>
      <c r="E1285" t="s">
        <v>26</v>
      </c>
      <c r="F1285">
        <v>198501</v>
      </c>
      <c r="G1285">
        <v>199012</v>
      </c>
      <c r="H1285">
        <v>74</v>
      </c>
      <c r="I1285">
        <v>100</v>
      </c>
      <c r="J1285">
        <v>1590</v>
      </c>
      <c r="K1285">
        <v>3748207</v>
      </c>
      <c r="L1285" t="s">
        <v>1185</v>
      </c>
      <c r="M1285" t="str">
        <f>"E100020"</f>
        <v>E100020</v>
      </c>
      <c r="N1285" t="str">
        <f>"E100020"</f>
        <v>E100020</v>
      </c>
      <c r="O1285" t="str">
        <f>""</f>
        <v/>
      </c>
      <c r="P1285" t="s">
        <v>1200</v>
      </c>
      <c r="Q1285" t="str">
        <f>""</f>
        <v/>
      </c>
      <c r="S1285" t="s">
        <v>1621</v>
      </c>
      <c r="U1285">
        <v>3225</v>
      </c>
      <c r="V1285" t="s">
        <v>1214</v>
      </c>
      <c r="W1285" t="s">
        <v>1171</v>
      </c>
      <c r="X1285" t="s">
        <v>1215</v>
      </c>
      <c r="Y1285" t="s">
        <v>1215</v>
      </c>
    </row>
    <row r="1286" spans="1:25">
      <c r="A1286">
        <v>13529</v>
      </c>
      <c r="B1286" t="s">
        <v>25</v>
      </c>
      <c r="C1286" t="str">
        <f t="shared" si="41"/>
        <v>INTEGRA Saloon</v>
      </c>
      <c r="D1286" t="str">
        <f t="shared" si="40"/>
        <v>1.6</v>
      </c>
      <c r="E1286" t="s">
        <v>26</v>
      </c>
      <c r="F1286">
        <v>198501</v>
      </c>
      <c r="G1286">
        <v>199012</v>
      </c>
      <c r="H1286">
        <v>74</v>
      </c>
      <c r="I1286">
        <v>100</v>
      </c>
      <c r="J1286">
        <v>1590</v>
      </c>
      <c r="K1286">
        <v>3748265</v>
      </c>
      <c r="L1286" t="s">
        <v>1185</v>
      </c>
      <c r="M1286" t="str">
        <f>"E100060"</f>
        <v>E100060</v>
      </c>
      <c r="N1286" t="str">
        <f>"E100060"</f>
        <v>E100060</v>
      </c>
      <c r="O1286" t="str">
        <f>""</f>
        <v/>
      </c>
      <c r="P1286" t="s">
        <v>1200</v>
      </c>
      <c r="Q1286" t="str">
        <f>""</f>
        <v/>
      </c>
      <c r="S1286" t="s">
        <v>1213</v>
      </c>
      <c r="U1286">
        <v>3225</v>
      </c>
      <c r="V1286" t="s">
        <v>1214</v>
      </c>
      <c r="W1286" t="s">
        <v>1171</v>
      </c>
      <c r="X1286" t="s">
        <v>1215</v>
      </c>
      <c r="Y1286" t="s">
        <v>1215</v>
      </c>
    </row>
    <row r="1287" spans="1:25">
      <c r="A1287">
        <v>13529</v>
      </c>
      <c r="B1287" t="s">
        <v>25</v>
      </c>
      <c r="C1287" t="str">
        <f t="shared" si="41"/>
        <v>INTEGRA Saloon</v>
      </c>
      <c r="D1287" t="str">
        <f t="shared" si="40"/>
        <v>1.6</v>
      </c>
      <c r="E1287" t="s">
        <v>26</v>
      </c>
      <c r="F1287">
        <v>198501</v>
      </c>
      <c r="G1287">
        <v>199012</v>
      </c>
      <c r="H1287">
        <v>74</v>
      </c>
      <c r="I1287">
        <v>100</v>
      </c>
      <c r="J1287">
        <v>1590</v>
      </c>
      <c r="K1287">
        <v>3748367</v>
      </c>
      <c r="L1287" t="s">
        <v>1185</v>
      </c>
      <c r="M1287" t="str">
        <f>"E100096"</f>
        <v>E100096</v>
      </c>
      <c r="N1287" t="str">
        <f>"E100096"</f>
        <v>E100096</v>
      </c>
      <c r="O1287" t="str">
        <f>""</f>
        <v/>
      </c>
      <c r="P1287" t="s">
        <v>1207</v>
      </c>
      <c r="Q1287" t="str">
        <f>""</f>
        <v/>
      </c>
      <c r="S1287" t="s">
        <v>1621</v>
      </c>
      <c r="U1287">
        <v>3225</v>
      </c>
      <c r="V1287" t="s">
        <v>1214</v>
      </c>
      <c r="W1287" t="s">
        <v>1171</v>
      </c>
      <c r="X1287" t="s">
        <v>1215</v>
      </c>
      <c r="Y1287" t="s">
        <v>1215</v>
      </c>
    </row>
    <row r="1288" spans="1:25">
      <c r="A1288">
        <v>13529</v>
      </c>
      <c r="B1288" t="s">
        <v>25</v>
      </c>
      <c r="C1288" t="str">
        <f t="shared" si="41"/>
        <v>INTEGRA Saloon</v>
      </c>
      <c r="D1288" t="str">
        <f t="shared" si="40"/>
        <v>1.6</v>
      </c>
      <c r="E1288" t="s">
        <v>26</v>
      </c>
      <c r="F1288">
        <v>198501</v>
      </c>
      <c r="G1288">
        <v>199012</v>
      </c>
      <c r="H1288">
        <v>74</v>
      </c>
      <c r="I1288">
        <v>100</v>
      </c>
      <c r="J1288">
        <v>1590</v>
      </c>
      <c r="K1288">
        <v>3748406</v>
      </c>
      <c r="L1288" t="s">
        <v>1185</v>
      </c>
      <c r="M1288" t="str">
        <f>"E100125"</f>
        <v>E100125</v>
      </c>
      <c r="N1288" t="str">
        <f>"E100125"</f>
        <v>E100125</v>
      </c>
      <c r="O1288" t="str">
        <f>""</f>
        <v/>
      </c>
      <c r="P1288" t="s">
        <v>1207</v>
      </c>
      <c r="Q1288" t="str">
        <f>""</f>
        <v/>
      </c>
      <c r="S1288" t="s">
        <v>1621</v>
      </c>
      <c r="U1288">
        <v>3225</v>
      </c>
      <c r="V1288" t="s">
        <v>1214</v>
      </c>
      <c r="W1288" t="s">
        <v>1171</v>
      </c>
      <c r="X1288" t="s">
        <v>1215</v>
      </c>
      <c r="Y1288" t="s">
        <v>1215</v>
      </c>
    </row>
    <row r="1289" spans="1:25">
      <c r="A1289">
        <v>13529</v>
      </c>
      <c r="B1289" t="s">
        <v>25</v>
      </c>
      <c r="C1289" t="str">
        <f t="shared" si="41"/>
        <v>INTEGRA Saloon</v>
      </c>
      <c r="D1289" t="str">
        <f t="shared" si="40"/>
        <v>1.6</v>
      </c>
      <c r="E1289" t="s">
        <v>26</v>
      </c>
      <c r="F1289">
        <v>198501</v>
      </c>
      <c r="G1289">
        <v>199012</v>
      </c>
      <c r="H1289">
        <v>74</v>
      </c>
      <c r="I1289">
        <v>100</v>
      </c>
      <c r="J1289">
        <v>1590</v>
      </c>
      <c r="K1289">
        <v>3920235</v>
      </c>
      <c r="L1289" t="s">
        <v>1187</v>
      </c>
      <c r="M1289" t="str">
        <f>"16100"</f>
        <v>16100</v>
      </c>
      <c r="N1289" t="str">
        <f>"16100"</f>
        <v>16100</v>
      </c>
      <c r="O1289" t="str">
        <f>""</f>
        <v/>
      </c>
      <c r="P1289" t="s">
        <v>1198</v>
      </c>
      <c r="Q1289" t="str">
        <f>""</f>
        <v/>
      </c>
      <c r="S1289" t="s">
        <v>1218</v>
      </c>
      <c r="U1289">
        <v>3225</v>
      </c>
      <c r="V1289" t="s">
        <v>1214</v>
      </c>
      <c r="W1289" t="s">
        <v>1171</v>
      </c>
      <c r="X1289" t="s">
        <v>1215</v>
      </c>
      <c r="Y1289" t="s">
        <v>1215</v>
      </c>
    </row>
    <row r="1290" spans="1:25">
      <c r="A1290">
        <v>13529</v>
      </c>
      <c r="B1290" t="s">
        <v>25</v>
      </c>
      <c r="C1290" t="str">
        <f t="shared" si="41"/>
        <v>INTEGRA Saloon</v>
      </c>
      <c r="D1290" t="str">
        <f t="shared" si="40"/>
        <v>1.6</v>
      </c>
      <c r="E1290" t="s">
        <v>26</v>
      </c>
      <c r="F1290">
        <v>198501</v>
      </c>
      <c r="G1290">
        <v>199012</v>
      </c>
      <c r="H1290">
        <v>74</v>
      </c>
      <c r="I1290">
        <v>100</v>
      </c>
      <c r="J1290">
        <v>1590</v>
      </c>
      <c r="K1290">
        <v>4083837</v>
      </c>
      <c r="L1290" t="s">
        <v>1190</v>
      </c>
      <c r="M1290" t="str">
        <f>"1111122"</f>
        <v>1111122</v>
      </c>
      <c r="N1290" t="str">
        <f>"1111122"</f>
        <v>1111122</v>
      </c>
      <c r="O1290" t="str">
        <f>""</f>
        <v/>
      </c>
      <c r="P1290" t="s">
        <v>1203</v>
      </c>
      <c r="Q1290" t="str">
        <f>""</f>
        <v/>
      </c>
      <c r="R1290" s="1" t="s">
        <v>1219</v>
      </c>
      <c r="S1290" t="s">
        <v>1213</v>
      </c>
      <c r="T1290" t="s">
        <v>1220</v>
      </c>
      <c r="U1290">
        <v>3225</v>
      </c>
      <c r="V1290" t="s">
        <v>1214</v>
      </c>
      <c r="W1290" t="s">
        <v>1171</v>
      </c>
      <c r="X1290" t="s">
        <v>1215</v>
      </c>
      <c r="Y1290" t="s">
        <v>1215</v>
      </c>
    </row>
    <row r="1291" spans="1:25">
      <c r="A1291">
        <v>13529</v>
      </c>
      <c r="B1291" t="s">
        <v>25</v>
      </c>
      <c r="C1291" t="str">
        <f t="shared" si="41"/>
        <v>INTEGRA Saloon</v>
      </c>
      <c r="D1291" t="str">
        <f t="shared" si="40"/>
        <v>1.6</v>
      </c>
      <c r="E1291" t="s">
        <v>26</v>
      </c>
      <c r="F1291">
        <v>198501</v>
      </c>
      <c r="G1291">
        <v>199012</v>
      </c>
      <c r="H1291">
        <v>74</v>
      </c>
      <c r="I1291">
        <v>100</v>
      </c>
      <c r="J1291">
        <v>1590</v>
      </c>
      <c r="K1291">
        <v>4083935</v>
      </c>
      <c r="L1291" t="s">
        <v>1190</v>
      </c>
      <c r="M1291" t="str">
        <f>"1112110"</f>
        <v>1112110</v>
      </c>
      <c r="N1291" t="str">
        <f>"1112110"</f>
        <v>1112110</v>
      </c>
      <c r="O1291" t="str">
        <f>""</f>
        <v/>
      </c>
      <c r="P1291" t="s">
        <v>1203</v>
      </c>
      <c r="Q1291" t="str">
        <f>""</f>
        <v/>
      </c>
      <c r="R1291" s="1" t="s">
        <v>1210</v>
      </c>
      <c r="S1291" t="s">
        <v>1213</v>
      </c>
      <c r="T1291" s="1" t="s">
        <v>1211</v>
      </c>
      <c r="U1291">
        <v>3225</v>
      </c>
      <c r="V1291" t="s">
        <v>1214</v>
      </c>
      <c r="W1291" t="s">
        <v>1171</v>
      </c>
      <c r="X1291" t="s">
        <v>1215</v>
      </c>
      <c r="Y1291" t="s">
        <v>1215</v>
      </c>
    </row>
    <row r="1292" spans="1:25">
      <c r="A1292">
        <v>13529</v>
      </c>
      <c r="B1292" t="s">
        <v>25</v>
      </c>
      <c r="C1292" t="str">
        <f t="shared" si="41"/>
        <v>INTEGRA Saloon</v>
      </c>
      <c r="D1292" t="str">
        <f t="shared" si="40"/>
        <v>1.6</v>
      </c>
      <c r="E1292" t="s">
        <v>26</v>
      </c>
      <c r="F1292">
        <v>198501</v>
      </c>
      <c r="G1292">
        <v>199012</v>
      </c>
      <c r="H1292">
        <v>74</v>
      </c>
      <c r="I1292">
        <v>100</v>
      </c>
      <c r="J1292">
        <v>1590</v>
      </c>
      <c r="K1292">
        <v>4952281</v>
      </c>
      <c r="L1292" t="s">
        <v>1173</v>
      </c>
      <c r="M1292" t="str">
        <f>"SUPERTRONIC0W40"</f>
        <v>SUPERTRONIC0W40</v>
      </c>
      <c r="N1292" t="str">
        <f>"SuperTronic 0W-40"</f>
        <v>SuperTronic 0W-40</v>
      </c>
      <c r="O1292" t="str">
        <f>""</f>
        <v/>
      </c>
      <c r="P1292" t="s">
        <v>1198</v>
      </c>
      <c r="Q1292" t="str">
        <f>""</f>
        <v/>
      </c>
      <c r="S1292" t="s">
        <v>1213</v>
      </c>
      <c r="U1292">
        <v>3225</v>
      </c>
      <c r="V1292" t="s">
        <v>1214</v>
      </c>
      <c r="W1292" t="s">
        <v>1171</v>
      </c>
      <c r="X1292" t="s">
        <v>1215</v>
      </c>
      <c r="Y1292" t="s">
        <v>1215</v>
      </c>
    </row>
    <row r="1293" spans="1:25">
      <c r="A1293">
        <v>13529</v>
      </c>
      <c r="B1293" t="s">
        <v>25</v>
      </c>
      <c r="C1293" t="str">
        <f t="shared" si="41"/>
        <v>INTEGRA Saloon</v>
      </c>
      <c r="D1293" t="str">
        <f t="shared" si="40"/>
        <v>1.6</v>
      </c>
      <c r="E1293" t="s">
        <v>26</v>
      </c>
      <c r="F1293">
        <v>198501</v>
      </c>
      <c r="G1293">
        <v>199012</v>
      </c>
      <c r="H1293">
        <v>74</v>
      </c>
      <c r="I1293">
        <v>100</v>
      </c>
      <c r="J1293">
        <v>1590</v>
      </c>
      <c r="K1293">
        <v>3748616</v>
      </c>
      <c r="L1293" t="s">
        <v>1185</v>
      </c>
      <c r="M1293" t="str">
        <f>"E113661"</f>
        <v>E113661</v>
      </c>
      <c r="N1293" t="str">
        <f>"E113661"</f>
        <v>E113661</v>
      </c>
      <c r="O1293" t="str">
        <f>""</f>
        <v/>
      </c>
      <c r="P1293" t="s">
        <v>1221</v>
      </c>
      <c r="Q1293" t="str">
        <f>""</f>
        <v/>
      </c>
      <c r="U1293">
        <v>3354</v>
      </c>
      <c r="V1293" t="s">
        <v>1222</v>
      </c>
      <c r="W1293" t="s">
        <v>1171</v>
      </c>
      <c r="X1293" t="s">
        <v>211</v>
      </c>
      <c r="Y1293" t="s">
        <v>1223</v>
      </c>
    </row>
    <row r="1294" spans="1:25">
      <c r="A1294">
        <v>13529</v>
      </c>
      <c r="B1294" t="s">
        <v>25</v>
      </c>
      <c r="C1294" t="str">
        <f t="shared" si="41"/>
        <v>INTEGRA Saloon</v>
      </c>
      <c r="D1294" t="str">
        <f t="shared" si="40"/>
        <v>1.6</v>
      </c>
      <c r="E1294" t="s">
        <v>26</v>
      </c>
      <c r="F1294">
        <v>198501</v>
      </c>
      <c r="G1294">
        <v>199012</v>
      </c>
      <c r="H1294">
        <v>74</v>
      </c>
      <c r="I1294">
        <v>100</v>
      </c>
      <c r="J1294">
        <v>1590</v>
      </c>
      <c r="K1294">
        <v>750264</v>
      </c>
      <c r="L1294" t="s">
        <v>1173</v>
      </c>
      <c r="M1294" t="str">
        <f>"ANTIFREEZEEXTRA"</f>
        <v>ANTIFREEZEEXTRA</v>
      </c>
      <c r="N1294" t="str">
        <f>"Antifreeze Extra"</f>
        <v>Antifreeze Extra</v>
      </c>
      <c r="O1294" t="str">
        <f>""</f>
        <v/>
      </c>
      <c r="P1294" t="s">
        <v>1224</v>
      </c>
      <c r="Q1294" t="str">
        <f>""</f>
        <v/>
      </c>
      <c r="U1294">
        <v>3356</v>
      </c>
      <c r="V1294" t="s">
        <v>1224</v>
      </c>
      <c r="W1294" t="s">
        <v>1224</v>
      </c>
      <c r="X1294" t="s">
        <v>626</v>
      </c>
    </row>
    <row r="1295" spans="1:25">
      <c r="A1295">
        <v>13529</v>
      </c>
      <c r="B1295" t="s">
        <v>25</v>
      </c>
      <c r="C1295" t="str">
        <f t="shared" si="41"/>
        <v>INTEGRA Saloon</v>
      </c>
      <c r="D1295" t="str">
        <f t="shared" si="40"/>
        <v>1.6</v>
      </c>
      <c r="E1295" t="s">
        <v>26</v>
      </c>
      <c r="F1295">
        <v>198501</v>
      </c>
      <c r="G1295">
        <v>199012</v>
      </c>
      <c r="H1295">
        <v>74</v>
      </c>
      <c r="I1295">
        <v>100</v>
      </c>
      <c r="J1295">
        <v>1590</v>
      </c>
      <c r="K1295">
        <v>2861589</v>
      </c>
      <c r="L1295" t="s">
        <v>1181</v>
      </c>
      <c r="M1295" t="str">
        <f>"0603"</f>
        <v>0603</v>
      </c>
      <c r="N1295" t="str">
        <f>"0603"</f>
        <v>0603</v>
      </c>
      <c r="O1295" t="str">
        <f>""</f>
        <v/>
      </c>
      <c r="P1295" t="s">
        <v>1224</v>
      </c>
      <c r="Q1295" t="str">
        <f>""</f>
        <v/>
      </c>
      <c r="U1295">
        <v>3356</v>
      </c>
      <c r="V1295" t="s">
        <v>1224</v>
      </c>
      <c r="W1295" t="s">
        <v>1224</v>
      </c>
      <c r="X1295" t="s">
        <v>626</v>
      </c>
    </row>
    <row r="1296" spans="1:25">
      <c r="A1296">
        <v>13529</v>
      </c>
      <c r="B1296" t="s">
        <v>25</v>
      </c>
      <c r="C1296" t="str">
        <f t="shared" si="41"/>
        <v>INTEGRA Saloon</v>
      </c>
      <c r="D1296" t="str">
        <f t="shared" si="40"/>
        <v>1.6</v>
      </c>
      <c r="E1296" t="s">
        <v>26</v>
      </c>
      <c r="F1296">
        <v>198501</v>
      </c>
      <c r="G1296">
        <v>199012</v>
      </c>
      <c r="H1296">
        <v>74</v>
      </c>
      <c r="I1296">
        <v>100</v>
      </c>
      <c r="J1296">
        <v>1590</v>
      </c>
      <c r="K1296">
        <v>2861595</v>
      </c>
      <c r="L1296" t="s">
        <v>1181</v>
      </c>
      <c r="M1296" t="str">
        <f>"0604"</f>
        <v>0604</v>
      </c>
      <c r="N1296" t="str">
        <f>"0604"</f>
        <v>0604</v>
      </c>
      <c r="O1296" t="str">
        <f>""</f>
        <v/>
      </c>
      <c r="P1296" t="s">
        <v>1224</v>
      </c>
      <c r="Q1296" t="str">
        <f>""</f>
        <v/>
      </c>
      <c r="U1296">
        <v>3356</v>
      </c>
      <c r="V1296" t="s">
        <v>1224</v>
      </c>
      <c r="W1296" t="s">
        <v>1224</v>
      </c>
      <c r="X1296" t="s">
        <v>626</v>
      </c>
    </row>
    <row r="1297" spans="1:24">
      <c r="A1297">
        <v>13529</v>
      </c>
      <c r="B1297" t="s">
        <v>25</v>
      </c>
      <c r="C1297" t="str">
        <f t="shared" si="41"/>
        <v>INTEGRA Saloon</v>
      </c>
      <c r="D1297" t="str">
        <f t="shared" si="40"/>
        <v>1.6</v>
      </c>
      <c r="E1297" t="s">
        <v>26</v>
      </c>
      <c r="F1297">
        <v>198501</v>
      </c>
      <c r="G1297">
        <v>199012</v>
      </c>
      <c r="H1297">
        <v>74</v>
      </c>
      <c r="I1297">
        <v>100</v>
      </c>
      <c r="J1297">
        <v>1590</v>
      </c>
      <c r="K1297">
        <v>2861599</v>
      </c>
      <c r="L1297" t="s">
        <v>1181</v>
      </c>
      <c r="M1297" t="str">
        <f>"0605"</f>
        <v>0605</v>
      </c>
      <c r="N1297" t="str">
        <f>"0605"</f>
        <v>0605</v>
      </c>
      <c r="O1297" t="str">
        <f>""</f>
        <v/>
      </c>
      <c r="P1297" t="s">
        <v>1224</v>
      </c>
      <c r="Q1297" t="str">
        <f>""</f>
        <v/>
      </c>
      <c r="U1297">
        <v>3356</v>
      </c>
      <c r="V1297" t="s">
        <v>1224</v>
      </c>
      <c r="W1297" t="s">
        <v>1224</v>
      </c>
      <c r="X1297" t="s">
        <v>626</v>
      </c>
    </row>
    <row r="1298" spans="1:24">
      <c r="A1298">
        <v>13529</v>
      </c>
      <c r="B1298" t="s">
        <v>25</v>
      </c>
      <c r="C1298" t="str">
        <f t="shared" si="41"/>
        <v>INTEGRA Saloon</v>
      </c>
      <c r="D1298" t="str">
        <f t="shared" si="40"/>
        <v>1.6</v>
      </c>
      <c r="E1298" t="s">
        <v>26</v>
      </c>
      <c r="F1298">
        <v>198501</v>
      </c>
      <c r="G1298">
        <v>199012</v>
      </c>
      <c r="H1298">
        <v>74</v>
      </c>
      <c r="I1298">
        <v>100</v>
      </c>
      <c r="J1298">
        <v>1590</v>
      </c>
      <c r="K1298">
        <v>3748664</v>
      </c>
      <c r="L1298" t="s">
        <v>1185</v>
      </c>
      <c r="M1298" t="str">
        <f>"E504105"</f>
        <v>E504105</v>
      </c>
      <c r="N1298" t="str">
        <f>"E504105"</f>
        <v>E504105</v>
      </c>
      <c r="O1298" t="str">
        <f>""</f>
        <v/>
      </c>
      <c r="P1298" t="s">
        <v>1225</v>
      </c>
      <c r="Q1298" t="str">
        <f>""</f>
        <v/>
      </c>
      <c r="U1298">
        <v>3356</v>
      </c>
      <c r="V1298" t="s">
        <v>1224</v>
      </c>
      <c r="W1298" t="s">
        <v>1224</v>
      </c>
      <c r="X1298" t="s">
        <v>626</v>
      </c>
    </row>
    <row r="1299" spans="1:24">
      <c r="A1299">
        <v>13529</v>
      </c>
      <c r="B1299" t="s">
        <v>25</v>
      </c>
      <c r="C1299" t="str">
        <f t="shared" si="41"/>
        <v>INTEGRA Saloon</v>
      </c>
      <c r="D1299" t="str">
        <f t="shared" si="40"/>
        <v>1.6</v>
      </c>
      <c r="E1299" t="s">
        <v>26</v>
      </c>
      <c r="F1299">
        <v>198501</v>
      </c>
      <c r="G1299">
        <v>199012</v>
      </c>
      <c r="H1299">
        <v>74</v>
      </c>
      <c r="I1299">
        <v>100</v>
      </c>
      <c r="J1299">
        <v>1590</v>
      </c>
      <c r="K1299">
        <v>3748671</v>
      </c>
      <c r="L1299" t="s">
        <v>1185</v>
      </c>
      <c r="M1299" t="str">
        <f>"E504140"</f>
        <v>E504140</v>
      </c>
      <c r="N1299" t="str">
        <f>"E504140"</f>
        <v>E504140</v>
      </c>
      <c r="O1299" t="str">
        <f>""</f>
        <v/>
      </c>
      <c r="P1299" t="s">
        <v>1225</v>
      </c>
      <c r="Q1299" t="str">
        <f>""</f>
        <v/>
      </c>
      <c r="U1299">
        <v>3356</v>
      </c>
      <c r="V1299" t="s">
        <v>1224</v>
      </c>
      <c r="W1299" t="s">
        <v>1224</v>
      </c>
      <c r="X1299" t="s">
        <v>626</v>
      </c>
    </row>
    <row r="1300" spans="1:24">
      <c r="A1300">
        <v>13529</v>
      </c>
      <c r="B1300" t="s">
        <v>25</v>
      </c>
      <c r="C1300" t="str">
        <f t="shared" si="41"/>
        <v>INTEGRA Saloon</v>
      </c>
      <c r="D1300" t="str">
        <f t="shared" si="40"/>
        <v>1.6</v>
      </c>
      <c r="E1300" t="s">
        <v>26</v>
      </c>
      <c r="F1300">
        <v>198501</v>
      </c>
      <c r="G1300">
        <v>199012</v>
      </c>
      <c r="H1300">
        <v>74</v>
      </c>
      <c r="I1300">
        <v>100</v>
      </c>
      <c r="J1300">
        <v>1590</v>
      </c>
      <c r="K1300">
        <v>3748679</v>
      </c>
      <c r="L1300" t="s">
        <v>1185</v>
      </c>
      <c r="M1300" t="str">
        <f>"E504144"</f>
        <v>E504144</v>
      </c>
      <c r="N1300" t="str">
        <f>"E504144"</f>
        <v>E504144</v>
      </c>
      <c r="O1300" t="str">
        <f>""</f>
        <v/>
      </c>
      <c r="P1300" t="s">
        <v>1225</v>
      </c>
      <c r="Q1300" t="str">
        <f>""</f>
        <v/>
      </c>
      <c r="U1300">
        <v>3356</v>
      </c>
      <c r="V1300" t="s">
        <v>1224</v>
      </c>
      <c r="W1300" t="s">
        <v>1224</v>
      </c>
      <c r="X1300" t="s">
        <v>626</v>
      </c>
    </row>
    <row r="1301" spans="1:24">
      <c r="A1301">
        <v>13529</v>
      </c>
      <c r="B1301" t="s">
        <v>25</v>
      </c>
      <c r="C1301" t="str">
        <f t="shared" si="41"/>
        <v>INTEGRA Saloon</v>
      </c>
      <c r="D1301" t="str">
        <f t="shared" si="40"/>
        <v>1.6</v>
      </c>
      <c r="E1301" t="s">
        <v>26</v>
      </c>
      <c r="F1301">
        <v>198501</v>
      </c>
      <c r="G1301">
        <v>199012</v>
      </c>
      <c r="H1301">
        <v>74</v>
      </c>
      <c r="I1301">
        <v>100</v>
      </c>
      <c r="J1301">
        <v>1590</v>
      </c>
      <c r="K1301">
        <v>3748689</v>
      </c>
      <c r="L1301" t="s">
        <v>1185</v>
      </c>
      <c r="M1301" t="str">
        <f>"E504149"</f>
        <v>E504149</v>
      </c>
      <c r="N1301" t="str">
        <f>"E504149"</f>
        <v>E504149</v>
      </c>
      <c r="O1301" t="str">
        <f>""</f>
        <v/>
      </c>
      <c r="P1301" t="s">
        <v>1225</v>
      </c>
      <c r="Q1301" t="str">
        <f>""</f>
        <v/>
      </c>
      <c r="U1301">
        <v>3356</v>
      </c>
      <c r="V1301" t="s">
        <v>1224</v>
      </c>
      <c r="W1301" t="s">
        <v>1224</v>
      </c>
      <c r="X1301" t="s">
        <v>626</v>
      </c>
    </row>
    <row r="1302" spans="1:24">
      <c r="A1302">
        <v>13529</v>
      </c>
      <c r="B1302" t="s">
        <v>25</v>
      </c>
      <c r="C1302" t="str">
        <f t="shared" si="41"/>
        <v>INTEGRA Saloon</v>
      </c>
      <c r="D1302" t="str">
        <f t="shared" si="40"/>
        <v>1.6</v>
      </c>
      <c r="E1302" t="s">
        <v>26</v>
      </c>
      <c r="F1302">
        <v>198501</v>
      </c>
      <c r="G1302">
        <v>199012</v>
      </c>
      <c r="H1302">
        <v>74</v>
      </c>
      <c r="I1302">
        <v>100</v>
      </c>
      <c r="J1302">
        <v>1590</v>
      </c>
      <c r="K1302">
        <v>3920281</v>
      </c>
      <c r="L1302" t="s">
        <v>1187</v>
      </c>
      <c r="M1302" t="str">
        <f>"38300"</f>
        <v>38300</v>
      </c>
      <c r="N1302" t="str">
        <f>"38300"</f>
        <v>38300</v>
      </c>
      <c r="O1302" t="str">
        <f>""</f>
        <v/>
      </c>
      <c r="P1302" t="s">
        <v>1224</v>
      </c>
      <c r="Q1302" t="str">
        <f>""</f>
        <v/>
      </c>
      <c r="S1302" t="s">
        <v>1226</v>
      </c>
      <c r="U1302">
        <v>3356</v>
      </c>
      <c r="V1302" t="s">
        <v>1224</v>
      </c>
      <c r="W1302" t="s">
        <v>1224</v>
      </c>
      <c r="X1302" t="s">
        <v>626</v>
      </c>
    </row>
    <row r="1303" spans="1:24">
      <c r="A1303">
        <v>13529</v>
      </c>
      <c r="B1303" t="s">
        <v>25</v>
      </c>
      <c r="C1303" t="str">
        <f t="shared" si="41"/>
        <v>INTEGRA Saloon</v>
      </c>
      <c r="D1303" t="str">
        <f t="shared" si="40"/>
        <v>1.6</v>
      </c>
      <c r="E1303" t="s">
        <v>26</v>
      </c>
      <c r="F1303">
        <v>198501</v>
      </c>
      <c r="G1303">
        <v>199012</v>
      </c>
      <c r="H1303">
        <v>74</v>
      </c>
      <c r="I1303">
        <v>100</v>
      </c>
      <c r="J1303">
        <v>1590</v>
      </c>
      <c r="K1303">
        <v>4085831</v>
      </c>
      <c r="L1303" t="s">
        <v>1190</v>
      </c>
      <c r="M1303" t="str">
        <f>"1410105"</f>
        <v>1410105</v>
      </c>
      <c r="N1303" t="str">
        <f>"1410105"</f>
        <v>1410105</v>
      </c>
      <c r="O1303" t="str">
        <f>""</f>
        <v/>
      </c>
      <c r="P1303" t="s">
        <v>1224</v>
      </c>
      <c r="Q1303" t="str">
        <f>""</f>
        <v/>
      </c>
      <c r="U1303">
        <v>3356</v>
      </c>
      <c r="V1303" t="s">
        <v>1224</v>
      </c>
      <c r="W1303" t="s">
        <v>1224</v>
      </c>
      <c r="X1303" t="s">
        <v>626</v>
      </c>
    </row>
    <row r="1304" spans="1:24">
      <c r="A1304">
        <v>13529</v>
      </c>
      <c r="B1304" t="s">
        <v>25</v>
      </c>
      <c r="C1304" t="str">
        <f t="shared" si="41"/>
        <v>INTEGRA Saloon</v>
      </c>
      <c r="D1304" t="str">
        <f t="shared" si="40"/>
        <v>1.6</v>
      </c>
      <c r="E1304" t="s">
        <v>26</v>
      </c>
      <c r="F1304">
        <v>198501</v>
      </c>
      <c r="G1304">
        <v>199012</v>
      </c>
      <c r="H1304">
        <v>74</v>
      </c>
      <c r="I1304">
        <v>100</v>
      </c>
      <c r="J1304">
        <v>1590</v>
      </c>
      <c r="K1304">
        <v>878189</v>
      </c>
      <c r="L1304" t="s">
        <v>1176</v>
      </c>
      <c r="M1304" t="str">
        <f>"62170"</f>
        <v>62170</v>
      </c>
      <c r="N1304" t="str">
        <f>"62170"</f>
        <v>62170</v>
      </c>
      <c r="O1304" t="str">
        <f>""</f>
        <v/>
      </c>
      <c r="P1304" t="s">
        <v>1227</v>
      </c>
      <c r="Q1304" t="str">
        <f>""</f>
        <v/>
      </c>
      <c r="U1304">
        <v>3357</v>
      </c>
      <c r="V1304" t="s">
        <v>1227</v>
      </c>
      <c r="W1304" t="s">
        <v>1227</v>
      </c>
      <c r="X1304" t="s">
        <v>224</v>
      </c>
    </row>
    <row r="1305" spans="1:24">
      <c r="A1305">
        <v>13529</v>
      </c>
      <c r="B1305" t="s">
        <v>25</v>
      </c>
      <c r="C1305" t="str">
        <f t="shared" si="41"/>
        <v>INTEGRA Saloon</v>
      </c>
      <c r="D1305" t="str">
        <f t="shared" si="40"/>
        <v>1.6</v>
      </c>
      <c r="E1305" t="s">
        <v>26</v>
      </c>
      <c r="F1305">
        <v>198501</v>
      </c>
      <c r="G1305">
        <v>199012</v>
      </c>
      <c r="H1305">
        <v>74</v>
      </c>
      <c r="I1305">
        <v>100</v>
      </c>
      <c r="J1305">
        <v>1590</v>
      </c>
      <c r="K1305">
        <v>922616</v>
      </c>
      <c r="L1305" t="s">
        <v>1187</v>
      </c>
      <c r="M1305" t="str">
        <f>"27400"</f>
        <v>27400</v>
      </c>
      <c r="N1305" t="str">
        <f>"27400"</f>
        <v>27400</v>
      </c>
      <c r="O1305" t="str">
        <f>""</f>
        <v/>
      </c>
      <c r="P1305" t="s">
        <v>1227</v>
      </c>
      <c r="Q1305" t="str">
        <f>""</f>
        <v/>
      </c>
      <c r="U1305">
        <v>3357</v>
      </c>
      <c r="V1305" t="s">
        <v>1227</v>
      </c>
      <c r="W1305" t="s">
        <v>1227</v>
      </c>
      <c r="X1305" t="s">
        <v>224</v>
      </c>
    </row>
    <row r="1306" spans="1:24">
      <c r="A1306">
        <v>13529</v>
      </c>
      <c r="B1306" t="s">
        <v>25</v>
      </c>
      <c r="C1306" t="str">
        <f t="shared" si="41"/>
        <v>INTEGRA Saloon</v>
      </c>
      <c r="D1306" t="str">
        <f t="shared" si="40"/>
        <v>1.6</v>
      </c>
      <c r="E1306" t="s">
        <v>26</v>
      </c>
      <c r="F1306">
        <v>198501</v>
      </c>
      <c r="G1306">
        <v>199012</v>
      </c>
      <c r="H1306">
        <v>74</v>
      </c>
      <c r="I1306">
        <v>100</v>
      </c>
      <c r="J1306">
        <v>1590</v>
      </c>
      <c r="K1306">
        <v>2738747</v>
      </c>
      <c r="L1306" t="s">
        <v>1177</v>
      </c>
      <c r="M1306" t="str">
        <f>"5038"</f>
        <v>5038</v>
      </c>
      <c r="N1306" t="str">
        <f>"5038"</f>
        <v>5038</v>
      </c>
      <c r="O1306" t="str">
        <f>""</f>
        <v/>
      </c>
      <c r="P1306" t="s">
        <v>1228</v>
      </c>
      <c r="Q1306" t="str">
        <f>""</f>
        <v/>
      </c>
      <c r="U1306">
        <v>3357</v>
      </c>
      <c r="V1306" t="s">
        <v>1227</v>
      </c>
      <c r="W1306" t="s">
        <v>1227</v>
      </c>
      <c r="X1306" t="s">
        <v>224</v>
      </c>
    </row>
    <row r="1307" spans="1:24">
      <c r="A1307">
        <v>13529</v>
      </c>
      <c r="B1307" t="s">
        <v>25</v>
      </c>
      <c r="C1307" t="str">
        <f t="shared" si="41"/>
        <v>INTEGRA Saloon</v>
      </c>
      <c r="D1307" t="str">
        <f t="shared" si="40"/>
        <v>1.6</v>
      </c>
      <c r="E1307" t="s">
        <v>26</v>
      </c>
      <c r="F1307">
        <v>198501</v>
      </c>
      <c r="G1307">
        <v>199012</v>
      </c>
      <c r="H1307">
        <v>74</v>
      </c>
      <c r="I1307">
        <v>100</v>
      </c>
      <c r="J1307">
        <v>1590</v>
      </c>
      <c r="K1307">
        <v>2738748</v>
      </c>
      <c r="L1307" t="s">
        <v>1177</v>
      </c>
      <c r="M1307" t="str">
        <f>"5039"</f>
        <v>5039</v>
      </c>
      <c r="N1307" t="str">
        <f>"5039"</f>
        <v>5039</v>
      </c>
      <c r="O1307" t="str">
        <f>""</f>
        <v/>
      </c>
      <c r="P1307" t="s">
        <v>1228</v>
      </c>
      <c r="Q1307" t="str">
        <f>""</f>
        <v/>
      </c>
      <c r="U1307">
        <v>3357</v>
      </c>
      <c r="V1307" t="s">
        <v>1227</v>
      </c>
      <c r="W1307" t="s">
        <v>1227</v>
      </c>
      <c r="X1307" t="s">
        <v>224</v>
      </c>
    </row>
    <row r="1308" spans="1:24">
      <c r="A1308">
        <v>13529</v>
      </c>
      <c r="B1308" t="s">
        <v>25</v>
      </c>
      <c r="C1308" t="str">
        <f t="shared" si="41"/>
        <v>INTEGRA Saloon</v>
      </c>
      <c r="D1308" t="str">
        <f t="shared" si="40"/>
        <v>1.6</v>
      </c>
      <c r="E1308" t="s">
        <v>26</v>
      </c>
      <c r="F1308">
        <v>198501</v>
      </c>
      <c r="G1308">
        <v>199012</v>
      </c>
      <c r="H1308">
        <v>74</v>
      </c>
      <c r="I1308">
        <v>100</v>
      </c>
      <c r="J1308">
        <v>1590</v>
      </c>
      <c r="K1308">
        <v>2739514</v>
      </c>
      <c r="L1308" t="s">
        <v>1180</v>
      </c>
      <c r="M1308" t="str">
        <f>"5038"</f>
        <v>5038</v>
      </c>
      <c r="N1308" t="str">
        <f>"5038"</f>
        <v>5038</v>
      </c>
      <c r="O1308" t="str">
        <f>""</f>
        <v/>
      </c>
      <c r="P1308" t="s">
        <v>1228</v>
      </c>
      <c r="Q1308" t="str">
        <f>""</f>
        <v/>
      </c>
      <c r="U1308">
        <v>3357</v>
      </c>
      <c r="V1308" t="s">
        <v>1227</v>
      </c>
      <c r="W1308" t="s">
        <v>1227</v>
      </c>
      <c r="X1308" t="s">
        <v>224</v>
      </c>
    </row>
    <row r="1309" spans="1:24">
      <c r="A1309">
        <v>13529</v>
      </c>
      <c r="B1309" t="s">
        <v>25</v>
      </c>
      <c r="C1309" t="str">
        <f t="shared" si="41"/>
        <v>INTEGRA Saloon</v>
      </c>
      <c r="D1309" t="str">
        <f t="shared" si="40"/>
        <v>1.6</v>
      </c>
      <c r="E1309" t="s">
        <v>26</v>
      </c>
      <c r="F1309">
        <v>198501</v>
      </c>
      <c r="G1309">
        <v>199012</v>
      </c>
      <c r="H1309">
        <v>74</v>
      </c>
      <c r="I1309">
        <v>100</v>
      </c>
      <c r="J1309">
        <v>1590</v>
      </c>
      <c r="K1309">
        <v>2739515</v>
      </c>
      <c r="L1309" t="s">
        <v>1180</v>
      </c>
      <c r="M1309" t="str">
        <f>"5039"</f>
        <v>5039</v>
      </c>
      <c r="N1309" t="str">
        <f>"5039"</f>
        <v>5039</v>
      </c>
      <c r="O1309" t="str">
        <f>""</f>
        <v/>
      </c>
      <c r="P1309" t="s">
        <v>1228</v>
      </c>
      <c r="Q1309" t="str">
        <f>""</f>
        <v/>
      </c>
      <c r="U1309">
        <v>3357</v>
      </c>
      <c r="V1309" t="s">
        <v>1227</v>
      </c>
      <c r="W1309" t="s">
        <v>1227</v>
      </c>
      <c r="X1309" t="s">
        <v>224</v>
      </c>
    </row>
    <row r="1310" spans="1:24">
      <c r="A1310">
        <v>13529</v>
      </c>
      <c r="B1310" t="s">
        <v>25</v>
      </c>
      <c r="C1310" t="str">
        <f t="shared" si="41"/>
        <v>INTEGRA Saloon</v>
      </c>
      <c r="D1310" t="str">
        <f t="shared" si="40"/>
        <v>1.6</v>
      </c>
      <c r="E1310" t="s">
        <v>26</v>
      </c>
      <c r="F1310">
        <v>198501</v>
      </c>
      <c r="G1310">
        <v>199012</v>
      </c>
      <c r="H1310">
        <v>74</v>
      </c>
      <c r="I1310">
        <v>100</v>
      </c>
      <c r="J1310">
        <v>1590</v>
      </c>
      <c r="K1310">
        <v>2861619</v>
      </c>
      <c r="L1310" t="s">
        <v>1181</v>
      </c>
      <c r="M1310" t="str">
        <f>"0711"</f>
        <v>0711</v>
      </c>
      <c r="N1310" t="str">
        <f>"0711"</f>
        <v>0711</v>
      </c>
      <c r="O1310" t="str">
        <f>""</f>
        <v/>
      </c>
      <c r="P1310" t="s">
        <v>1227</v>
      </c>
      <c r="Q1310" t="str">
        <f>""</f>
        <v/>
      </c>
      <c r="U1310">
        <v>3357</v>
      </c>
      <c r="V1310" t="s">
        <v>1227</v>
      </c>
      <c r="W1310" t="s">
        <v>1227</v>
      </c>
      <c r="X1310" t="s">
        <v>224</v>
      </c>
    </row>
    <row r="1311" spans="1:24">
      <c r="A1311">
        <v>13529</v>
      </c>
      <c r="B1311" t="s">
        <v>25</v>
      </c>
      <c r="C1311" t="str">
        <f t="shared" si="41"/>
        <v>INTEGRA Saloon</v>
      </c>
      <c r="D1311" t="str">
        <f t="shared" si="40"/>
        <v>1.6</v>
      </c>
      <c r="E1311" t="s">
        <v>26</v>
      </c>
      <c r="F1311">
        <v>198501</v>
      </c>
      <c r="G1311">
        <v>199012</v>
      </c>
      <c r="H1311">
        <v>74</v>
      </c>
      <c r="I1311">
        <v>100</v>
      </c>
      <c r="J1311">
        <v>1590</v>
      </c>
      <c r="K1311">
        <v>2861624</v>
      </c>
      <c r="L1311" t="s">
        <v>1181</v>
      </c>
      <c r="M1311" t="str">
        <f>"0712"</f>
        <v>0712</v>
      </c>
      <c r="N1311" t="str">
        <f>"0712"</f>
        <v>0712</v>
      </c>
      <c r="O1311" t="str">
        <f>""</f>
        <v/>
      </c>
      <c r="P1311" t="s">
        <v>1227</v>
      </c>
      <c r="Q1311" t="str">
        <f>""</f>
        <v/>
      </c>
      <c r="U1311">
        <v>3357</v>
      </c>
      <c r="V1311" t="s">
        <v>1227</v>
      </c>
      <c r="W1311" t="s">
        <v>1227</v>
      </c>
      <c r="X1311" t="s">
        <v>224</v>
      </c>
    </row>
    <row r="1312" spans="1:24">
      <c r="A1312">
        <v>13529</v>
      </c>
      <c r="B1312" t="s">
        <v>25</v>
      </c>
      <c r="C1312" t="str">
        <f t="shared" si="41"/>
        <v>INTEGRA Saloon</v>
      </c>
      <c r="D1312" t="str">
        <f t="shared" si="40"/>
        <v>1.6</v>
      </c>
      <c r="E1312" t="s">
        <v>26</v>
      </c>
      <c r="F1312">
        <v>198501</v>
      </c>
      <c r="G1312">
        <v>199012</v>
      </c>
      <c r="H1312">
        <v>74</v>
      </c>
      <c r="I1312">
        <v>100</v>
      </c>
      <c r="J1312">
        <v>1590</v>
      </c>
      <c r="K1312">
        <v>2861974</v>
      </c>
      <c r="L1312" t="s">
        <v>1181</v>
      </c>
      <c r="M1312" t="str">
        <f>"BRAKEFLUIDDOT4"</f>
        <v>BRAKEFLUIDDOT4</v>
      </c>
      <c r="N1312" t="str">
        <f>"Brake Fluid DOT 4"</f>
        <v>Brake Fluid DOT 4</v>
      </c>
      <c r="O1312" t="str">
        <f>""</f>
        <v/>
      </c>
      <c r="P1312" t="s">
        <v>1228</v>
      </c>
      <c r="Q1312" t="str">
        <f>""</f>
        <v/>
      </c>
      <c r="S1312" t="s">
        <v>1229</v>
      </c>
      <c r="U1312">
        <v>3357</v>
      </c>
      <c r="V1312" t="s">
        <v>1227</v>
      </c>
      <c r="W1312" t="s">
        <v>1227</v>
      </c>
      <c r="X1312" t="s">
        <v>224</v>
      </c>
    </row>
    <row r="1313" spans="1:25">
      <c r="A1313">
        <v>13529</v>
      </c>
      <c r="B1313" t="s">
        <v>25</v>
      </c>
      <c r="C1313" t="str">
        <f t="shared" si="41"/>
        <v>INTEGRA Saloon</v>
      </c>
      <c r="D1313" t="str">
        <f t="shared" si="40"/>
        <v>1.6</v>
      </c>
      <c r="E1313" t="s">
        <v>26</v>
      </c>
      <c r="F1313">
        <v>198501</v>
      </c>
      <c r="G1313">
        <v>199012</v>
      </c>
      <c r="H1313">
        <v>74</v>
      </c>
      <c r="I1313">
        <v>100</v>
      </c>
      <c r="J1313">
        <v>1590</v>
      </c>
      <c r="K1313">
        <v>2862015</v>
      </c>
      <c r="L1313" t="s">
        <v>1181</v>
      </c>
      <c r="M1313" t="str">
        <f>"REACTPERFORMANCEDOT4"</f>
        <v>REACTPERFORMANCEDOT4</v>
      </c>
      <c r="N1313" t="str">
        <f>"React Performance DOT4"</f>
        <v>React Performance DOT4</v>
      </c>
      <c r="O1313" t="str">
        <f>""</f>
        <v/>
      </c>
      <c r="P1313" t="s">
        <v>1228</v>
      </c>
      <c r="Q1313" t="str">
        <f>""</f>
        <v/>
      </c>
      <c r="S1313" t="s">
        <v>1229</v>
      </c>
      <c r="U1313">
        <v>3357</v>
      </c>
      <c r="V1313" t="s">
        <v>1227</v>
      </c>
      <c r="W1313" t="s">
        <v>1227</v>
      </c>
      <c r="X1313" t="s">
        <v>224</v>
      </c>
    </row>
    <row r="1314" spans="1:25">
      <c r="A1314">
        <v>13529</v>
      </c>
      <c r="B1314" t="s">
        <v>25</v>
      </c>
      <c r="C1314" t="str">
        <f t="shared" si="41"/>
        <v>INTEGRA Saloon</v>
      </c>
      <c r="D1314" t="str">
        <f t="shared" si="40"/>
        <v>1.6</v>
      </c>
      <c r="E1314" t="s">
        <v>26</v>
      </c>
      <c r="F1314">
        <v>198501</v>
      </c>
      <c r="G1314">
        <v>199012</v>
      </c>
      <c r="H1314">
        <v>74</v>
      </c>
      <c r="I1314">
        <v>100</v>
      </c>
      <c r="J1314">
        <v>1590</v>
      </c>
      <c r="K1314">
        <v>2862016</v>
      </c>
      <c r="L1314" t="s">
        <v>1181</v>
      </c>
      <c r="M1314" t="str">
        <f>"REACTSRFRACING"</f>
        <v>REACTSRFRACING</v>
      </c>
      <c r="N1314" t="str">
        <f>"React SRF Racing"</f>
        <v>React SRF Racing</v>
      </c>
      <c r="O1314" t="str">
        <f>""</f>
        <v/>
      </c>
      <c r="P1314" t="s">
        <v>1228</v>
      </c>
      <c r="Q1314" t="str">
        <f>""</f>
        <v/>
      </c>
      <c r="S1314" t="s">
        <v>1229</v>
      </c>
      <c r="U1314">
        <v>3357</v>
      </c>
      <c r="V1314" t="s">
        <v>1227</v>
      </c>
      <c r="W1314" t="s">
        <v>1227</v>
      </c>
      <c r="X1314" t="s">
        <v>224</v>
      </c>
    </row>
    <row r="1315" spans="1:25">
      <c r="A1315">
        <v>13529</v>
      </c>
      <c r="B1315" t="s">
        <v>25</v>
      </c>
      <c r="C1315" t="str">
        <f t="shared" si="41"/>
        <v>INTEGRA Saloon</v>
      </c>
      <c r="D1315" t="str">
        <f t="shared" si="40"/>
        <v>1.6</v>
      </c>
      <c r="E1315" t="s">
        <v>26</v>
      </c>
      <c r="F1315">
        <v>198501</v>
      </c>
      <c r="G1315">
        <v>199012</v>
      </c>
      <c r="H1315">
        <v>74</v>
      </c>
      <c r="I1315">
        <v>100</v>
      </c>
      <c r="J1315">
        <v>1590</v>
      </c>
      <c r="K1315">
        <v>3634200</v>
      </c>
      <c r="L1315" t="s">
        <v>1184</v>
      </c>
      <c r="M1315" t="str">
        <f>"VTBRAKEFLDOT4"</f>
        <v>VTBRAKEFLDOT4</v>
      </c>
      <c r="N1315" t="str">
        <f>"VTBRAKEFLDOT4"</f>
        <v>VTBRAKEFLDOT4</v>
      </c>
      <c r="O1315" t="str">
        <f>""</f>
        <v/>
      </c>
      <c r="P1315" t="s">
        <v>1228</v>
      </c>
      <c r="Q1315" t="str">
        <f>""</f>
        <v/>
      </c>
      <c r="U1315">
        <v>3357</v>
      </c>
      <c r="V1315" t="s">
        <v>1227</v>
      </c>
      <c r="W1315" t="s">
        <v>1227</v>
      </c>
      <c r="X1315" t="s">
        <v>224</v>
      </c>
    </row>
    <row r="1316" spans="1:25">
      <c r="A1316">
        <v>13529</v>
      </c>
      <c r="B1316" t="s">
        <v>25</v>
      </c>
      <c r="C1316" t="str">
        <f t="shared" si="41"/>
        <v>INTEGRA Saloon</v>
      </c>
      <c r="D1316" t="str">
        <f t="shared" si="40"/>
        <v>1.6</v>
      </c>
      <c r="E1316" t="s">
        <v>26</v>
      </c>
      <c r="F1316">
        <v>198501</v>
      </c>
      <c r="G1316">
        <v>199012</v>
      </c>
      <c r="H1316">
        <v>74</v>
      </c>
      <c r="I1316">
        <v>100</v>
      </c>
      <c r="J1316">
        <v>1590</v>
      </c>
      <c r="K1316">
        <v>3748693</v>
      </c>
      <c r="L1316" t="s">
        <v>1185</v>
      </c>
      <c r="M1316" t="str">
        <f>"E801300"</f>
        <v>E801300</v>
      </c>
      <c r="N1316" t="str">
        <f>"E801300"</f>
        <v>E801300</v>
      </c>
      <c r="O1316" t="str">
        <f>""</f>
        <v/>
      </c>
      <c r="P1316" t="s">
        <v>1228</v>
      </c>
      <c r="Q1316" t="str">
        <f>""</f>
        <v/>
      </c>
      <c r="U1316">
        <v>3357</v>
      </c>
      <c r="V1316" t="s">
        <v>1227</v>
      </c>
      <c r="W1316" t="s">
        <v>1227</v>
      </c>
      <c r="X1316" t="s">
        <v>224</v>
      </c>
    </row>
    <row r="1317" spans="1:25">
      <c r="A1317">
        <v>13529</v>
      </c>
      <c r="B1317" t="s">
        <v>25</v>
      </c>
      <c r="C1317" t="str">
        <f t="shared" si="41"/>
        <v>INTEGRA Saloon</v>
      </c>
      <c r="D1317" t="str">
        <f t="shared" si="40"/>
        <v>1.6</v>
      </c>
      <c r="E1317" t="s">
        <v>26</v>
      </c>
      <c r="F1317">
        <v>198501</v>
      </c>
      <c r="G1317">
        <v>199012</v>
      </c>
      <c r="H1317">
        <v>74</v>
      </c>
      <c r="I1317">
        <v>100</v>
      </c>
      <c r="J1317">
        <v>1590</v>
      </c>
      <c r="K1317">
        <v>3748699</v>
      </c>
      <c r="L1317" t="s">
        <v>1185</v>
      </c>
      <c r="M1317" t="str">
        <f>"E801400"</f>
        <v>E801400</v>
      </c>
      <c r="N1317" t="str">
        <f>"E801400"</f>
        <v>E801400</v>
      </c>
      <c r="O1317" t="str">
        <f>""</f>
        <v/>
      </c>
      <c r="P1317" t="s">
        <v>1228</v>
      </c>
      <c r="Q1317" t="str">
        <f>""</f>
        <v/>
      </c>
      <c r="U1317">
        <v>3357</v>
      </c>
      <c r="V1317" t="s">
        <v>1227</v>
      </c>
      <c r="W1317" t="s">
        <v>1227</v>
      </c>
      <c r="X1317" t="s">
        <v>224</v>
      </c>
    </row>
    <row r="1318" spans="1:25">
      <c r="A1318">
        <v>13529</v>
      </c>
      <c r="B1318" t="s">
        <v>25</v>
      </c>
      <c r="C1318" t="str">
        <f t="shared" si="41"/>
        <v>INTEGRA Saloon</v>
      </c>
      <c r="D1318" t="str">
        <f t="shared" si="40"/>
        <v>1.6</v>
      </c>
      <c r="E1318" t="s">
        <v>26</v>
      </c>
      <c r="F1318">
        <v>198501</v>
      </c>
      <c r="G1318">
        <v>199012</v>
      </c>
      <c r="H1318">
        <v>74</v>
      </c>
      <c r="I1318">
        <v>100</v>
      </c>
      <c r="J1318">
        <v>1590</v>
      </c>
      <c r="K1318">
        <v>3748706</v>
      </c>
      <c r="L1318" t="s">
        <v>1185</v>
      </c>
      <c r="M1318" t="str">
        <f>"E801410"</f>
        <v>E801410</v>
      </c>
      <c r="N1318" t="str">
        <f>"E801410"</f>
        <v>E801410</v>
      </c>
      <c r="O1318" t="str">
        <f>""</f>
        <v/>
      </c>
      <c r="P1318" t="s">
        <v>1228</v>
      </c>
      <c r="Q1318" t="str">
        <f>""</f>
        <v/>
      </c>
      <c r="U1318">
        <v>3357</v>
      </c>
      <c r="V1318" t="s">
        <v>1227</v>
      </c>
      <c r="W1318" t="s">
        <v>1227</v>
      </c>
      <c r="X1318" t="s">
        <v>224</v>
      </c>
    </row>
    <row r="1319" spans="1:25">
      <c r="A1319">
        <v>13529</v>
      </c>
      <c r="B1319" t="s">
        <v>25</v>
      </c>
      <c r="C1319" t="str">
        <f t="shared" si="41"/>
        <v>INTEGRA Saloon</v>
      </c>
      <c r="D1319" t="str">
        <f t="shared" si="40"/>
        <v>1.6</v>
      </c>
      <c r="E1319" t="s">
        <v>26</v>
      </c>
      <c r="F1319">
        <v>198501</v>
      </c>
      <c r="G1319">
        <v>199012</v>
      </c>
      <c r="H1319">
        <v>74</v>
      </c>
      <c r="I1319">
        <v>100</v>
      </c>
      <c r="J1319">
        <v>1590</v>
      </c>
      <c r="K1319">
        <v>3920261</v>
      </c>
      <c r="L1319" t="s">
        <v>1187</v>
      </c>
      <c r="M1319" t="str">
        <f>"27250"</f>
        <v>27250</v>
      </c>
      <c r="N1319" t="str">
        <f>"27250"</f>
        <v>27250</v>
      </c>
      <c r="O1319" t="str">
        <f>""</f>
        <v/>
      </c>
      <c r="P1319" t="s">
        <v>1227</v>
      </c>
      <c r="Q1319" t="str">
        <f>""</f>
        <v/>
      </c>
      <c r="U1319">
        <v>3357</v>
      </c>
      <c r="V1319" t="s">
        <v>1227</v>
      </c>
      <c r="W1319" t="s">
        <v>1227</v>
      </c>
      <c r="X1319" t="s">
        <v>224</v>
      </c>
    </row>
    <row r="1320" spans="1:25">
      <c r="A1320">
        <v>13529</v>
      </c>
      <c r="B1320" t="s">
        <v>25</v>
      </c>
      <c r="C1320" t="str">
        <f t="shared" si="41"/>
        <v>INTEGRA Saloon</v>
      </c>
      <c r="D1320" t="str">
        <f t="shared" si="40"/>
        <v>1.6</v>
      </c>
      <c r="E1320" t="s">
        <v>26</v>
      </c>
      <c r="F1320">
        <v>198501</v>
      </c>
      <c r="G1320">
        <v>199012</v>
      </c>
      <c r="H1320">
        <v>74</v>
      </c>
      <c r="I1320">
        <v>100</v>
      </c>
      <c r="J1320">
        <v>1590</v>
      </c>
      <c r="K1320">
        <v>4085726</v>
      </c>
      <c r="L1320" t="s">
        <v>1190</v>
      </c>
      <c r="M1320" t="str">
        <f>"1350601"</f>
        <v>1350601</v>
      </c>
      <c r="N1320" t="str">
        <f>"1350601"</f>
        <v>1350601</v>
      </c>
      <c r="O1320" t="str">
        <f>""</f>
        <v/>
      </c>
      <c r="P1320" t="s">
        <v>1228</v>
      </c>
      <c r="Q1320" t="str">
        <f>""</f>
        <v/>
      </c>
      <c r="T1320" s="1" t="s">
        <v>1230</v>
      </c>
      <c r="U1320">
        <v>3357</v>
      </c>
      <c r="V1320" t="s">
        <v>1227</v>
      </c>
      <c r="W1320" t="s">
        <v>1227</v>
      </c>
      <c r="X1320" t="s">
        <v>224</v>
      </c>
    </row>
    <row r="1321" spans="1:25">
      <c r="A1321">
        <v>13529</v>
      </c>
      <c r="B1321" t="s">
        <v>25</v>
      </c>
      <c r="C1321" t="str">
        <f t="shared" si="41"/>
        <v>INTEGRA Saloon</v>
      </c>
      <c r="D1321" t="str">
        <f t="shared" si="40"/>
        <v>1.6</v>
      </c>
      <c r="E1321" t="s">
        <v>26</v>
      </c>
      <c r="F1321">
        <v>198501</v>
      </c>
      <c r="G1321">
        <v>199012</v>
      </c>
      <c r="H1321">
        <v>74</v>
      </c>
      <c r="I1321">
        <v>100</v>
      </c>
      <c r="J1321">
        <v>1590</v>
      </c>
      <c r="K1321">
        <v>3848887</v>
      </c>
      <c r="L1321" t="s">
        <v>1231</v>
      </c>
      <c r="M1321" t="str">
        <f>"10AV0900L"</f>
        <v>10AV0900L</v>
      </c>
      <c r="N1321" t="str">
        <f>"10AV0900L"</f>
        <v>10AV0900L</v>
      </c>
      <c r="O1321" t="str">
        <f>""</f>
        <v/>
      </c>
      <c r="P1321" t="s">
        <v>174</v>
      </c>
      <c r="Q1321" t="str">
        <f>"3275591569305"</f>
        <v>3275591569305</v>
      </c>
      <c r="R1321" t="s">
        <v>1276</v>
      </c>
      <c r="S1321" t="s">
        <v>184</v>
      </c>
      <c r="T1321" s="1" t="s">
        <v>1622</v>
      </c>
      <c r="U1321">
        <v>3568</v>
      </c>
      <c r="V1321" t="s">
        <v>174</v>
      </c>
      <c r="W1321" t="s">
        <v>1234</v>
      </c>
      <c r="X1321" t="s">
        <v>178</v>
      </c>
      <c r="Y1321" t="s">
        <v>174</v>
      </c>
    </row>
    <row r="1322" spans="1:25">
      <c r="A1322">
        <v>13529</v>
      </c>
      <c r="B1322" t="s">
        <v>25</v>
      </c>
      <c r="C1322" t="str">
        <f t="shared" si="41"/>
        <v>INTEGRA Saloon</v>
      </c>
      <c r="D1322" t="str">
        <f t="shared" ref="D1322:D1334" si="42">"1.6"</f>
        <v>1.6</v>
      </c>
      <c r="E1322" t="s">
        <v>26</v>
      </c>
      <c r="F1322">
        <v>198501</v>
      </c>
      <c r="G1322">
        <v>199012</v>
      </c>
      <c r="H1322">
        <v>74</v>
      </c>
      <c r="I1322">
        <v>100</v>
      </c>
      <c r="J1322">
        <v>1590</v>
      </c>
      <c r="K1322">
        <v>3848940</v>
      </c>
      <c r="L1322" t="s">
        <v>1231</v>
      </c>
      <c r="M1322" t="str">
        <f>"13AV0887L"</f>
        <v>13AV0887L</v>
      </c>
      <c r="N1322" t="str">
        <f>"13AV0887L"</f>
        <v>13AV0887L</v>
      </c>
      <c r="O1322" t="str">
        <f>""</f>
        <v/>
      </c>
      <c r="P1322" t="s">
        <v>174</v>
      </c>
      <c r="Q1322" t="str">
        <f>"3275591569664"</f>
        <v>3275591569664</v>
      </c>
      <c r="R1322" t="s">
        <v>1232</v>
      </c>
      <c r="S1322" t="s">
        <v>175</v>
      </c>
      <c r="T1322" s="1" t="s">
        <v>1623</v>
      </c>
      <c r="U1322">
        <v>3568</v>
      </c>
      <c r="V1322" t="s">
        <v>174</v>
      </c>
      <c r="W1322" t="s">
        <v>1234</v>
      </c>
      <c r="X1322" t="s">
        <v>178</v>
      </c>
      <c r="Y1322" t="s">
        <v>174</v>
      </c>
    </row>
    <row r="1323" spans="1:25">
      <c r="A1323">
        <v>13529</v>
      </c>
      <c r="B1323" t="s">
        <v>25</v>
      </c>
      <c r="C1323" t="str">
        <f t="shared" si="41"/>
        <v>INTEGRA Saloon</v>
      </c>
      <c r="D1323" t="str">
        <f t="shared" si="42"/>
        <v>1.6</v>
      </c>
      <c r="E1323" t="s">
        <v>26</v>
      </c>
      <c r="F1323">
        <v>198501</v>
      </c>
      <c r="G1323">
        <v>199012</v>
      </c>
      <c r="H1323">
        <v>74</v>
      </c>
      <c r="I1323">
        <v>100</v>
      </c>
      <c r="J1323">
        <v>1590</v>
      </c>
      <c r="K1323">
        <v>2592489</v>
      </c>
      <c r="L1323" t="s">
        <v>1453</v>
      </c>
      <c r="M1323" t="str">
        <f>"73056"</f>
        <v>73056</v>
      </c>
      <c r="N1323" t="str">
        <f>"7.3056"</f>
        <v>7.3056</v>
      </c>
      <c r="O1323" t="str">
        <f>"EPS 1.830.056"</f>
        <v>EPS 1.830.056</v>
      </c>
      <c r="P1323" t="s">
        <v>1567</v>
      </c>
      <c r="Q1323" t="str">
        <f>"8012510040638"</f>
        <v>8012510040638</v>
      </c>
      <c r="S1323" t="s">
        <v>1260</v>
      </c>
      <c r="T1323" s="1" t="s">
        <v>1568</v>
      </c>
      <c r="U1323">
        <v>3944</v>
      </c>
      <c r="V1323" t="s">
        <v>1073</v>
      </c>
      <c r="W1323" t="s">
        <v>1077</v>
      </c>
      <c r="X1323" t="s">
        <v>1624</v>
      </c>
      <c r="Y1323" t="s">
        <v>1078</v>
      </c>
    </row>
    <row r="1324" spans="1:25">
      <c r="A1324">
        <v>13529</v>
      </c>
      <c r="B1324" t="s">
        <v>25</v>
      </c>
      <c r="C1324" t="str">
        <f t="shared" si="41"/>
        <v>INTEGRA Saloon</v>
      </c>
      <c r="D1324" t="str">
        <f t="shared" si="42"/>
        <v>1.6</v>
      </c>
      <c r="E1324" t="s">
        <v>26</v>
      </c>
      <c r="F1324">
        <v>198501</v>
      </c>
      <c r="G1324">
        <v>199012</v>
      </c>
      <c r="H1324">
        <v>74</v>
      </c>
      <c r="I1324">
        <v>100</v>
      </c>
      <c r="J1324">
        <v>1590</v>
      </c>
      <c r="K1324">
        <v>2592565</v>
      </c>
      <c r="L1324" t="s">
        <v>1453</v>
      </c>
      <c r="M1324" t="str">
        <f>"73198"</f>
        <v>73198</v>
      </c>
      <c r="N1324" t="str">
        <f>"7.3198"</f>
        <v>7.3198</v>
      </c>
      <c r="O1324" t="str">
        <f>"EPS 1.830.198"</f>
        <v>EPS 1.830.198</v>
      </c>
      <c r="P1324" t="s">
        <v>1569</v>
      </c>
      <c r="Q1324" t="str">
        <f>"8012510070772"</f>
        <v>8012510070772</v>
      </c>
      <c r="S1324" t="s">
        <v>1456</v>
      </c>
      <c r="T1324" s="1" t="s">
        <v>1570</v>
      </c>
      <c r="U1324">
        <v>3944</v>
      </c>
      <c r="V1324" t="s">
        <v>1073</v>
      </c>
      <c r="W1324" t="s">
        <v>1077</v>
      </c>
      <c r="X1324" t="s">
        <v>1624</v>
      </c>
      <c r="Y1324" t="s">
        <v>1078</v>
      </c>
    </row>
    <row r="1325" spans="1:25">
      <c r="A1325">
        <v>13529</v>
      </c>
      <c r="B1325" t="s">
        <v>25</v>
      </c>
      <c r="C1325" t="str">
        <f t="shared" si="41"/>
        <v>INTEGRA Saloon</v>
      </c>
      <c r="D1325" t="str">
        <f t="shared" si="42"/>
        <v>1.6</v>
      </c>
      <c r="E1325" t="s">
        <v>26</v>
      </c>
      <c r="F1325">
        <v>198501</v>
      </c>
      <c r="G1325">
        <v>199012</v>
      </c>
      <c r="H1325">
        <v>74</v>
      </c>
      <c r="I1325">
        <v>100</v>
      </c>
      <c r="J1325">
        <v>1590</v>
      </c>
      <c r="K1325">
        <v>2706981</v>
      </c>
      <c r="L1325" t="s">
        <v>1458</v>
      </c>
      <c r="M1325" t="str">
        <f>"V26720002"</f>
        <v>V26720002</v>
      </c>
      <c r="N1325" t="str">
        <f>"V26-72-0002"</f>
        <v>V26-72-0002</v>
      </c>
      <c r="O1325" t="str">
        <f>""</f>
        <v/>
      </c>
      <c r="P1325" t="s">
        <v>1567</v>
      </c>
      <c r="Q1325" t="str">
        <f>"4046001370090"</f>
        <v>4046001370090</v>
      </c>
      <c r="S1325" t="s">
        <v>1456</v>
      </c>
      <c r="T1325" s="1" t="s">
        <v>1571</v>
      </c>
      <c r="U1325">
        <v>3944</v>
      </c>
      <c r="V1325" t="s">
        <v>1073</v>
      </c>
      <c r="W1325" t="s">
        <v>1077</v>
      </c>
      <c r="X1325" t="s">
        <v>1624</v>
      </c>
      <c r="Y1325" t="s">
        <v>1078</v>
      </c>
    </row>
    <row r="1326" spans="1:25">
      <c r="A1326">
        <v>13529</v>
      </c>
      <c r="B1326" t="s">
        <v>25</v>
      </c>
      <c r="C1326" t="str">
        <f t="shared" si="41"/>
        <v>INTEGRA Saloon</v>
      </c>
      <c r="D1326" t="str">
        <f t="shared" si="42"/>
        <v>1.6</v>
      </c>
      <c r="E1326" t="s">
        <v>26</v>
      </c>
      <c r="F1326">
        <v>198501</v>
      </c>
      <c r="G1326">
        <v>199012</v>
      </c>
      <c r="H1326">
        <v>74</v>
      </c>
      <c r="I1326">
        <v>100</v>
      </c>
      <c r="J1326">
        <v>1590</v>
      </c>
      <c r="K1326">
        <v>2987812</v>
      </c>
      <c r="L1326" t="s">
        <v>1528</v>
      </c>
      <c r="M1326" t="str">
        <f>"33450"</f>
        <v>33450</v>
      </c>
      <c r="N1326" t="str">
        <f>"33450"</f>
        <v>33450</v>
      </c>
      <c r="O1326" t="str">
        <f>""</f>
        <v/>
      </c>
      <c r="P1326" t="s">
        <v>1625</v>
      </c>
      <c r="Q1326" t="str">
        <f>"8435050615058"</f>
        <v>8435050615058</v>
      </c>
      <c r="R1326" t="s">
        <v>1626</v>
      </c>
      <c r="S1326" t="s">
        <v>1253</v>
      </c>
      <c r="T1326" t="s">
        <v>1627</v>
      </c>
      <c r="U1326">
        <v>3944</v>
      </c>
      <c r="V1326" t="s">
        <v>1073</v>
      </c>
      <c r="W1326" t="s">
        <v>1077</v>
      </c>
      <c r="X1326" t="s">
        <v>1624</v>
      </c>
      <c r="Y1326" t="s">
        <v>1078</v>
      </c>
    </row>
    <row r="1327" spans="1:25">
      <c r="A1327">
        <v>13529</v>
      </c>
      <c r="B1327" t="s">
        <v>25</v>
      </c>
      <c r="C1327" t="str">
        <f t="shared" si="41"/>
        <v>INTEGRA Saloon</v>
      </c>
      <c r="D1327" t="str">
        <f t="shared" si="42"/>
        <v>1.6</v>
      </c>
      <c r="E1327" t="s">
        <v>26</v>
      </c>
      <c r="F1327">
        <v>198501</v>
      </c>
      <c r="G1327">
        <v>199012</v>
      </c>
      <c r="H1327">
        <v>74</v>
      </c>
      <c r="I1327">
        <v>100</v>
      </c>
      <c r="J1327">
        <v>1590</v>
      </c>
      <c r="K1327">
        <v>3407186</v>
      </c>
      <c r="L1327" t="s">
        <v>1575</v>
      </c>
      <c r="M1327" t="str">
        <f>"3135"</f>
        <v>3135</v>
      </c>
      <c r="N1327" t="str">
        <f>"3135"</f>
        <v>3135</v>
      </c>
      <c r="O1327" t="str">
        <f>""</f>
        <v/>
      </c>
      <c r="P1327" t="s">
        <v>1567</v>
      </c>
      <c r="Q1327" t="str">
        <f>""</f>
        <v/>
      </c>
      <c r="S1327" t="s">
        <v>1260</v>
      </c>
      <c r="T1327" s="1" t="s">
        <v>1568</v>
      </c>
      <c r="U1327">
        <v>3944</v>
      </c>
      <c r="V1327" t="s">
        <v>1073</v>
      </c>
      <c r="W1327" t="s">
        <v>1077</v>
      </c>
      <c r="X1327" t="s">
        <v>1624</v>
      </c>
      <c r="Y1327" t="s">
        <v>1078</v>
      </c>
    </row>
    <row r="1328" spans="1:25">
      <c r="A1328">
        <v>13529</v>
      </c>
      <c r="B1328" t="s">
        <v>25</v>
      </c>
      <c r="C1328" t="str">
        <f t="shared" si="41"/>
        <v>INTEGRA Saloon</v>
      </c>
      <c r="D1328" t="str">
        <f t="shared" si="42"/>
        <v>1.6</v>
      </c>
      <c r="E1328" t="s">
        <v>26</v>
      </c>
      <c r="F1328">
        <v>198501</v>
      </c>
      <c r="G1328">
        <v>199012</v>
      </c>
      <c r="H1328">
        <v>74</v>
      </c>
      <c r="I1328">
        <v>100</v>
      </c>
      <c r="J1328">
        <v>1590</v>
      </c>
      <c r="K1328">
        <v>2671745</v>
      </c>
      <c r="L1328" t="s">
        <v>1235</v>
      </c>
      <c r="M1328" t="str">
        <f>"120599"</f>
        <v>120599</v>
      </c>
      <c r="N1328" t="str">
        <f>"120599"</f>
        <v>120599</v>
      </c>
      <c r="O1328" t="str">
        <f>""</f>
        <v/>
      </c>
      <c r="P1328" t="s">
        <v>1236</v>
      </c>
      <c r="Q1328" t="str">
        <f>""</f>
        <v/>
      </c>
      <c r="U1328">
        <v>5171</v>
      </c>
      <c r="V1328" t="s">
        <v>1236</v>
      </c>
      <c r="W1328" t="s">
        <v>1236</v>
      </c>
      <c r="X1328" t="s">
        <v>1237</v>
      </c>
    </row>
    <row r="1329" spans="1:24">
      <c r="A1329">
        <v>13529</v>
      </c>
      <c r="B1329" t="s">
        <v>25</v>
      </c>
      <c r="C1329" t="str">
        <f t="shared" si="41"/>
        <v>INTEGRA Saloon</v>
      </c>
      <c r="D1329" t="str">
        <f t="shared" si="42"/>
        <v>1.6</v>
      </c>
      <c r="E1329" t="s">
        <v>26</v>
      </c>
      <c r="F1329">
        <v>198501</v>
      </c>
      <c r="G1329">
        <v>199012</v>
      </c>
      <c r="H1329">
        <v>74</v>
      </c>
      <c r="I1329">
        <v>100</v>
      </c>
      <c r="J1329">
        <v>1590</v>
      </c>
      <c r="K1329">
        <v>2671746</v>
      </c>
      <c r="L1329" t="s">
        <v>1235</v>
      </c>
      <c r="M1329" t="str">
        <f>"120600"</f>
        <v>120600</v>
      </c>
      <c r="N1329" t="str">
        <f>"120600"</f>
        <v>120600</v>
      </c>
      <c r="O1329" t="str">
        <f>""</f>
        <v/>
      </c>
      <c r="P1329" t="s">
        <v>1236</v>
      </c>
      <c r="Q1329" t="str">
        <f>""</f>
        <v/>
      </c>
      <c r="U1329">
        <v>5171</v>
      </c>
      <c r="V1329" t="s">
        <v>1236</v>
      </c>
      <c r="W1329" t="s">
        <v>1236</v>
      </c>
      <c r="X1329" t="s">
        <v>1237</v>
      </c>
    </row>
    <row r="1330" spans="1:24">
      <c r="A1330">
        <v>13529</v>
      </c>
      <c r="B1330" t="s">
        <v>25</v>
      </c>
      <c r="C1330" t="str">
        <f t="shared" si="41"/>
        <v>INTEGRA Saloon</v>
      </c>
      <c r="D1330" t="str">
        <f t="shared" si="42"/>
        <v>1.6</v>
      </c>
      <c r="E1330" t="s">
        <v>26</v>
      </c>
      <c r="F1330">
        <v>198501</v>
      </c>
      <c r="G1330">
        <v>199012</v>
      </c>
      <c r="H1330">
        <v>74</v>
      </c>
      <c r="I1330">
        <v>100</v>
      </c>
      <c r="J1330">
        <v>1590</v>
      </c>
      <c r="K1330">
        <v>2671747</v>
      </c>
      <c r="L1330" t="s">
        <v>1235</v>
      </c>
      <c r="M1330" t="str">
        <f>"120601"</f>
        <v>120601</v>
      </c>
      <c r="N1330" t="str">
        <f>"120601"</f>
        <v>120601</v>
      </c>
      <c r="O1330" t="str">
        <f>""</f>
        <v/>
      </c>
      <c r="P1330" t="s">
        <v>1236</v>
      </c>
      <c r="Q1330" t="str">
        <f>""</f>
        <v/>
      </c>
      <c r="U1330">
        <v>5171</v>
      </c>
      <c r="V1330" t="s">
        <v>1236</v>
      </c>
      <c r="W1330" t="s">
        <v>1236</v>
      </c>
      <c r="X1330" t="s">
        <v>1237</v>
      </c>
    </row>
    <row r="1331" spans="1:24">
      <c r="A1331">
        <v>13529</v>
      </c>
      <c r="B1331" t="s">
        <v>25</v>
      </c>
      <c r="C1331" t="str">
        <f t="shared" si="41"/>
        <v>INTEGRA Saloon</v>
      </c>
      <c r="D1331" t="str">
        <f t="shared" si="42"/>
        <v>1.6</v>
      </c>
      <c r="E1331" t="s">
        <v>26</v>
      </c>
      <c r="F1331">
        <v>198501</v>
      </c>
      <c r="G1331">
        <v>199012</v>
      </c>
      <c r="H1331">
        <v>74</v>
      </c>
      <c r="I1331">
        <v>100</v>
      </c>
      <c r="J1331">
        <v>1590</v>
      </c>
      <c r="K1331">
        <v>2671748</v>
      </c>
      <c r="L1331" t="s">
        <v>1235</v>
      </c>
      <c r="M1331" t="str">
        <f>"120602"</f>
        <v>120602</v>
      </c>
      <c r="N1331" t="str">
        <f>"120602"</f>
        <v>120602</v>
      </c>
      <c r="O1331" t="str">
        <f>""</f>
        <v/>
      </c>
      <c r="P1331" t="s">
        <v>1236</v>
      </c>
      <c r="Q1331" t="str">
        <f>""</f>
        <v/>
      </c>
      <c r="U1331">
        <v>5171</v>
      </c>
      <c r="V1331" t="s">
        <v>1236</v>
      </c>
      <c r="W1331" t="s">
        <v>1236</v>
      </c>
      <c r="X1331" t="s">
        <v>1237</v>
      </c>
    </row>
    <row r="1332" spans="1:24">
      <c r="A1332">
        <v>13529</v>
      </c>
      <c r="B1332" t="s">
        <v>25</v>
      </c>
      <c r="C1332" t="str">
        <f t="shared" si="41"/>
        <v>INTEGRA Saloon</v>
      </c>
      <c r="D1332" t="str">
        <f t="shared" si="42"/>
        <v>1.6</v>
      </c>
      <c r="E1332" t="s">
        <v>26</v>
      </c>
      <c r="F1332">
        <v>198501</v>
      </c>
      <c r="G1332">
        <v>199012</v>
      </c>
      <c r="H1332">
        <v>74</v>
      </c>
      <c r="I1332">
        <v>100</v>
      </c>
      <c r="J1332">
        <v>1590</v>
      </c>
      <c r="K1332">
        <v>2671749</v>
      </c>
      <c r="L1332" t="s">
        <v>1235</v>
      </c>
      <c r="M1332" t="str">
        <f>"120603"</f>
        <v>120603</v>
      </c>
      <c r="N1332" t="str">
        <f>"120603"</f>
        <v>120603</v>
      </c>
      <c r="O1332" t="str">
        <f>""</f>
        <v/>
      </c>
      <c r="P1332" t="s">
        <v>1236</v>
      </c>
      <c r="Q1332" t="str">
        <f>""</f>
        <v/>
      </c>
      <c r="U1332">
        <v>5171</v>
      </c>
      <c r="V1332" t="s">
        <v>1236</v>
      </c>
      <c r="W1332" t="s">
        <v>1236</v>
      </c>
      <c r="X1332" t="s">
        <v>1237</v>
      </c>
    </row>
    <row r="1333" spans="1:24">
      <c r="A1333">
        <v>13529</v>
      </c>
      <c r="B1333" t="s">
        <v>25</v>
      </c>
      <c r="C1333" t="str">
        <f t="shared" si="41"/>
        <v>INTEGRA Saloon</v>
      </c>
      <c r="D1333" t="str">
        <f t="shared" si="42"/>
        <v>1.6</v>
      </c>
      <c r="E1333" t="s">
        <v>26</v>
      </c>
      <c r="F1333">
        <v>198501</v>
      </c>
      <c r="G1333">
        <v>199012</v>
      </c>
      <c r="H1333">
        <v>74</v>
      </c>
      <c r="I1333">
        <v>100</v>
      </c>
      <c r="J1333">
        <v>1590</v>
      </c>
      <c r="K1333">
        <v>2671750</v>
      </c>
      <c r="L1333" t="s">
        <v>1235</v>
      </c>
      <c r="M1333" t="str">
        <f>"120604"</f>
        <v>120604</v>
      </c>
      <c r="N1333" t="str">
        <f>"120604"</f>
        <v>120604</v>
      </c>
      <c r="O1333" t="str">
        <f>""</f>
        <v/>
      </c>
      <c r="P1333" t="s">
        <v>1236</v>
      </c>
      <c r="Q1333" t="str">
        <f>""</f>
        <v/>
      </c>
      <c r="U1333">
        <v>5171</v>
      </c>
      <c r="V1333" t="s">
        <v>1236</v>
      </c>
      <c r="W1333" t="s">
        <v>1236</v>
      </c>
      <c r="X1333" t="s">
        <v>1237</v>
      </c>
    </row>
    <row r="1334" spans="1:24">
      <c r="A1334">
        <v>13529</v>
      </c>
      <c r="B1334" t="s">
        <v>25</v>
      </c>
      <c r="C1334" t="str">
        <f t="shared" si="41"/>
        <v>INTEGRA Saloon</v>
      </c>
      <c r="D1334" t="str">
        <f t="shared" si="42"/>
        <v>1.6</v>
      </c>
      <c r="E1334" t="s">
        <v>26</v>
      </c>
      <c r="F1334">
        <v>198501</v>
      </c>
      <c r="G1334">
        <v>199012</v>
      </c>
      <c r="H1334">
        <v>74</v>
      </c>
      <c r="I1334">
        <v>100</v>
      </c>
      <c r="J1334">
        <v>1590</v>
      </c>
      <c r="K1334">
        <v>2671751</v>
      </c>
      <c r="L1334" t="s">
        <v>1235</v>
      </c>
      <c r="M1334" t="str">
        <f>"120607"</f>
        <v>120607</v>
      </c>
      <c r="N1334" t="str">
        <f>"120607"</f>
        <v>120607</v>
      </c>
      <c r="O1334" t="str">
        <f>""</f>
        <v/>
      </c>
      <c r="P1334" t="s">
        <v>1236</v>
      </c>
      <c r="Q1334" t="str">
        <f>""</f>
        <v/>
      </c>
      <c r="U1334">
        <v>5171</v>
      </c>
      <c r="V1334" t="s">
        <v>1236</v>
      </c>
      <c r="W1334" t="s">
        <v>1236</v>
      </c>
      <c r="X1334" t="s">
        <v>1237</v>
      </c>
    </row>
    <row r="1335" spans="1:24">
      <c r="A1335">
        <v>13531</v>
      </c>
      <c r="B1335" t="s">
        <v>25</v>
      </c>
      <c r="C1335" t="str">
        <f t="shared" si="41"/>
        <v>INTEGRA Saloon</v>
      </c>
      <c r="D1335" t="str">
        <f t="shared" ref="D1335:D1398" si="43">"1.6 i"</f>
        <v>1.6 i</v>
      </c>
      <c r="E1335" t="s">
        <v>26</v>
      </c>
      <c r="F1335">
        <v>198501</v>
      </c>
      <c r="G1335">
        <v>199012</v>
      </c>
      <c r="H1335">
        <v>88</v>
      </c>
      <c r="I1335">
        <v>120</v>
      </c>
      <c r="J1335">
        <v>1590</v>
      </c>
      <c r="K1335">
        <v>3960330</v>
      </c>
      <c r="L1335" t="s">
        <v>27</v>
      </c>
      <c r="M1335" t="str">
        <f>"A54524GL"</f>
        <v>A54524GL</v>
      </c>
      <c r="N1335" t="str">
        <f>"A54524GL"</f>
        <v>A54524GL</v>
      </c>
      <c r="O1335" t="str">
        <f>""</f>
        <v/>
      </c>
      <c r="P1335" t="s">
        <v>28</v>
      </c>
      <c r="Q1335" t="str">
        <f>""</f>
        <v/>
      </c>
      <c r="U1335">
        <v>1</v>
      </c>
      <c r="V1335" t="s">
        <v>28</v>
      </c>
      <c r="W1335" t="s">
        <v>29</v>
      </c>
      <c r="X1335" t="s">
        <v>30</v>
      </c>
    </row>
    <row r="1336" spans="1:24">
      <c r="A1336">
        <v>13531</v>
      </c>
      <c r="B1336" t="s">
        <v>25</v>
      </c>
      <c r="C1336" t="str">
        <f t="shared" si="41"/>
        <v>INTEGRA Saloon</v>
      </c>
      <c r="D1336" t="str">
        <f t="shared" si="43"/>
        <v>1.6 i</v>
      </c>
      <c r="E1336" t="s">
        <v>26</v>
      </c>
      <c r="F1336">
        <v>198501</v>
      </c>
      <c r="G1336">
        <v>199012</v>
      </c>
      <c r="H1336">
        <v>88</v>
      </c>
      <c r="I1336">
        <v>120</v>
      </c>
      <c r="J1336">
        <v>1590</v>
      </c>
      <c r="K1336">
        <v>4205132</v>
      </c>
      <c r="L1336" t="s">
        <v>31</v>
      </c>
      <c r="M1336" t="str">
        <f>"156"</f>
        <v>156</v>
      </c>
      <c r="N1336" t="str">
        <f>"156"</f>
        <v>156</v>
      </c>
      <c r="O1336" t="str">
        <f>"54584"</f>
        <v>54584</v>
      </c>
      <c r="P1336" t="s">
        <v>28</v>
      </c>
      <c r="Q1336" t="str">
        <f>"5050694001239"</f>
        <v>5050694001239</v>
      </c>
      <c r="U1336">
        <v>1</v>
      </c>
      <c r="V1336" t="s">
        <v>28</v>
      </c>
      <c r="W1336" t="s">
        <v>29</v>
      </c>
      <c r="X1336" t="s">
        <v>30</v>
      </c>
    </row>
    <row r="1337" spans="1:24">
      <c r="A1337">
        <v>13531</v>
      </c>
      <c r="B1337" t="s">
        <v>25</v>
      </c>
      <c r="C1337" t="str">
        <f t="shared" si="41"/>
        <v>INTEGRA Saloon</v>
      </c>
      <c r="D1337" t="str">
        <f t="shared" si="43"/>
        <v>1.6 i</v>
      </c>
      <c r="E1337" t="s">
        <v>26</v>
      </c>
      <c r="F1337">
        <v>198501</v>
      </c>
      <c r="G1337">
        <v>199012</v>
      </c>
      <c r="H1337">
        <v>88</v>
      </c>
      <c r="I1337">
        <v>120</v>
      </c>
      <c r="J1337">
        <v>1590</v>
      </c>
      <c r="K1337">
        <v>4205269</v>
      </c>
      <c r="L1337" t="s">
        <v>31</v>
      </c>
      <c r="M1337" t="str">
        <f>"YBX3053"</f>
        <v>YBX3053</v>
      </c>
      <c r="N1337" t="str">
        <f>"YBX3053"</f>
        <v>YBX3053</v>
      </c>
      <c r="O1337" t="str">
        <f>""</f>
        <v/>
      </c>
      <c r="P1337" t="s">
        <v>28</v>
      </c>
      <c r="Q1337" t="str">
        <f>"5050694029578"</f>
        <v>5050694029578</v>
      </c>
      <c r="U1337">
        <v>1</v>
      </c>
      <c r="V1337" t="s">
        <v>28</v>
      </c>
      <c r="W1337" t="s">
        <v>29</v>
      </c>
      <c r="X1337" t="s">
        <v>30</v>
      </c>
    </row>
    <row r="1338" spans="1:24">
      <c r="A1338">
        <v>13531</v>
      </c>
      <c r="B1338" t="s">
        <v>25</v>
      </c>
      <c r="C1338" t="str">
        <f t="shared" si="41"/>
        <v>INTEGRA Saloon</v>
      </c>
      <c r="D1338" t="str">
        <f t="shared" si="43"/>
        <v>1.6 i</v>
      </c>
      <c r="E1338" t="s">
        <v>26</v>
      </c>
      <c r="F1338">
        <v>198501</v>
      </c>
      <c r="G1338">
        <v>199012</v>
      </c>
      <c r="H1338">
        <v>88</v>
      </c>
      <c r="I1338">
        <v>120</v>
      </c>
      <c r="J1338">
        <v>1590</v>
      </c>
      <c r="K1338">
        <v>4205297</v>
      </c>
      <c r="L1338" t="s">
        <v>31</v>
      </c>
      <c r="M1338" t="str">
        <f>"YBX5053"</f>
        <v>YBX5053</v>
      </c>
      <c r="N1338" t="str">
        <f>"YBX5053"</f>
        <v>YBX5053</v>
      </c>
      <c r="O1338" t="str">
        <f>""</f>
        <v/>
      </c>
      <c r="P1338" t="s">
        <v>28</v>
      </c>
      <c r="Q1338" t="str">
        <f>"5050694029400"</f>
        <v>5050694029400</v>
      </c>
      <c r="U1338">
        <v>1</v>
      </c>
      <c r="V1338" t="s">
        <v>28</v>
      </c>
      <c r="W1338" t="s">
        <v>29</v>
      </c>
      <c r="X1338" t="s">
        <v>30</v>
      </c>
    </row>
    <row r="1339" spans="1:24">
      <c r="A1339">
        <v>13531</v>
      </c>
      <c r="B1339" t="s">
        <v>25</v>
      </c>
      <c r="C1339" t="str">
        <f t="shared" si="41"/>
        <v>INTEGRA Saloon</v>
      </c>
      <c r="D1339" t="str">
        <f t="shared" si="43"/>
        <v>1.6 i</v>
      </c>
      <c r="E1339" t="s">
        <v>26</v>
      </c>
      <c r="F1339">
        <v>198501</v>
      </c>
      <c r="G1339">
        <v>199012</v>
      </c>
      <c r="H1339">
        <v>88</v>
      </c>
      <c r="I1339">
        <v>120</v>
      </c>
      <c r="J1339">
        <v>1590</v>
      </c>
      <c r="K1339">
        <v>4205345</v>
      </c>
      <c r="L1339" t="s">
        <v>32</v>
      </c>
      <c r="M1339" t="str">
        <f>"053"</f>
        <v>053</v>
      </c>
      <c r="N1339" t="str">
        <f>"053"</f>
        <v>053</v>
      </c>
      <c r="O1339" t="str">
        <f>"46B24L"</f>
        <v>46B24L</v>
      </c>
      <c r="P1339" t="s">
        <v>28</v>
      </c>
      <c r="Q1339" t="str">
        <f>""</f>
        <v/>
      </c>
      <c r="U1339">
        <v>1</v>
      </c>
      <c r="V1339" t="s">
        <v>28</v>
      </c>
      <c r="W1339" t="s">
        <v>29</v>
      </c>
      <c r="X1339" t="s">
        <v>30</v>
      </c>
    </row>
    <row r="1340" spans="1:24">
      <c r="A1340">
        <v>13531</v>
      </c>
      <c r="B1340" t="s">
        <v>25</v>
      </c>
      <c r="C1340" t="str">
        <f t="shared" si="41"/>
        <v>INTEGRA Saloon</v>
      </c>
      <c r="D1340" t="str">
        <f t="shared" si="43"/>
        <v>1.6 i</v>
      </c>
      <c r="E1340" t="s">
        <v>26</v>
      </c>
      <c r="F1340">
        <v>198501</v>
      </c>
      <c r="G1340">
        <v>199012</v>
      </c>
      <c r="H1340">
        <v>88</v>
      </c>
      <c r="I1340">
        <v>120</v>
      </c>
      <c r="J1340">
        <v>1590</v>
      </c>
      <c r="K1340">
        <v>4205369</v>
      </c>
      <c r="L1340" t="s">
        <v>32</v>
      </c>
      <c r="M1340" t="str">
        <f>"156"</f>
        <v>156</v>
      </c>
      <c r="N1340" t="str">
        <f>"156"</f>
        <v>156</v>
      </c>
      <c r="O1340" t="str">
        <f>"46B24L"</f>
        <v>46B24L</v>
      </c>
      <c r="P1340" t="s">
        <v>28</v>
      </c>
      <c r="Q1340" t="str">
        <f>""</f>
        <v/>
      </c>
      <c r="U1340">
        <v>1</v>
      </c>
      <c r="V1340" t="s">
        <v>28</v>
      </c>
      <c r="W1340" t="s">
        <v>29</v>
      </c>
      <c r="X1340" t="s">
        <v>30</v>
      </c>
    </row>
    <row r="1341" spans="1:24">
      <c r="A1341">
        <v>13531</v>
      </c>
      <c r="B1341" t="s">
        <v>25</v>
      </c>
      <c r="C1341" t="str">
        <f t="shared" si="41"/>
        <v>INTEGRA Saloon</v>
      </c>
      <c r="D1341" t="str">
        <f t="shared" si="43"/>
        <v>1.6 i</v>
      </c>
      <c r="E1341" t="s">
        <v>26</v>
      </c>
      <c r="F1341">
        <v>198501</v>
      </c>
      <c r="G1341">
        <v>199012</v>
      </c>
      <c r="H1341">
        <v>88</v>
      </c>
      <c r="I1341">
        <v>120</v>
      </c>
      <c r="J1341">
        <v>1590</v>
      </c>
      <c r="K1341">
        <v>4205429</v>
      </c>
      <c r="L1341" t="s">
        <v>32</v>
      </c>
      <c r="M1341" t="str">
        <f>"GLD053"</f>
        <v>GLD053</v>
      </c>
      <c r="N1341" t="str">
        <f>"GLD053"</f>
        <v>GLD053</v>
      </c>
      <c r="O1341" t="str">
        <f>""</f>
        <v/>
      </c>
      <c r="P1341" t="s">
        <v>28</v>
      </c>
      <c r="Q1341" t="str">
        <f>"5050694032622"</f>
        <v>5050694032622</v>
      </c>
      <c r="U1341">
        <v>1</v>
      </c>
      <c r="V1341" t="s">
        <v>28</v>
      </c>
      <c r="W1341" t="s">
        <v>29</v>
      </c>
      <c r="X1341" t="s">
        <v>30</v>
      </c>
    </row>
    <row r="1342" spans="1:24">
      <c r="A1342">
        <v>13531</v>
      </c>
      <c r="B1342" t="s">
        <v>25</v>
      </c>
      <c r="C1342" t="str">
        <f t="shared" si="41"/>
        <v>INTEGRA Saloon</v>
      </c>
      <c r="D1342" t="str">
        <f t="shared" si="43"/>
        <v>1.6 i</v>
      </c>
      <c r="E1342" t="s">
        <v>26</v>
      </c>
      <c r="F1342">
        <v>198501</v>
      </c>
      <c r="G1342">
        <v>199012</v>
      </c>
      <c r="H1342">
        <v>88</v>
      </c>
      <c r="I1342">
        <v>120</v>
      </c>
      <c r="J1342">
        <v>1590</v>
      </c>
      <c r="K1342">
        <v>4205527</v>
      </c>
      <c r="L1342" t="s">
        <v>32</v>
      </c>
      <c r="M1342" t="str">
        <f>"SLV053"</f>
        <v>SLV053</v>
      </c>
      <c r="N1342" t="str">
        <f>"SLV053"</f>
        <v>SLV053</v>
      </c>
      <c r="O1342" t="str">
        <f>""</f>
        <v/>
      </c>
      <c r="P1342" t="s">
        <v>28</v>
      </c>
      <c r="Q1342" t="str">
        <f>"5050694032820"</f>
        <v>5050694032820</v>
      </c>
      <c r="U1342">
        <v>1</v>
      </c>
      <c r="V1342" t="s">
        <v>28</v>
      </c>
      <c r="W1342" t="s">
        <v>29</v>
      </c>
      <c r="X1342" t="s">
        <v>30</v>
      </c>
    </row>
    <row r="1343" spans="1:24">
      <c r="A1343">
        <v>13531</v>
      </c>
      <c r="B1343" t="s">
        <v>25</v>
      </c>
      <c r="C1343" t="str">
        <f t="shared" si="41"/>
        <v>INTEGRA Saloon</v>
      </c>
      <c r="D1343" t="str">
        <f t="shared" si="43"/>
        <v>1.6 i</v>
      </c>
      <c r="E1343" t="s">
        <v>26</v>
      </c>
      <c r="F1343">
        <v>198501</v>
      </c>
      <c r="G1343">
        <v>199012</v>
      </c>
      <c r="H1343">
        <v>88</v>
      </c>
      <c r="I1343">
        <v>120</v>
      </c>
      <c r="J1343">
        <v>1590</v>
      </c>
      <c r="K1343">
        <v>3034000</v>
      </c>
      <c r="L1343" t="s">
        <v>33</v>
      </c>
      <c r="M1343" t="str">
        <f>"J5214010"</f>
        <v>J5214010</v>
      </c>
      <c r="N1343" t="str">
        <f>"J5214010"</f>
        <v>J5214010</v>
      </c>
      <c r="O1343" t="str">
        <f>""</f>
        <v/>
      </c>
      <c r="P1343" t="s">
        <v>34</v>
      </c>
      <c r="Q1343" t="str">
        <f>"8711768070199"</f>
        <v>8711768070199</v>
      </c>
      <c r="R1343" t="s">
        <v>35</v>
      </c>
      <c r="T1343" s="1" t="s">
        <v>36</v>
      </c>
      <c r="U1343">
        <v>2</v>
      </c>
      <c r="V1343" t="s">
        <v>34</v>
      </c>
      <c r="W1343" t="s">
        <v>34</v>
      </c>
      <c r="X1343" t="s">
        <v>30</v>
      </c>
    </row>
    <row r="1344" spans="1:24">
      <c r="A1344">
        <v>13531</v>
      </c>
      <c r="B1344" t="s">
        <v>25</v>
      </c>
      <c r="C1344" t="str">
        <f t="shared" si="41"/>
        <v>INTEGRA Saloon</v>
      </c>
      <c r="D1344" t="str">
        <f t="shared" si="43"/>
        <v>1.6 i</v>
      </c>
      <c r="E1344" t="s">
        <v>26</v>
      </c>
      <c r="F1344">
        <v>198501</v>
      </c>
      <c r="G1344">
        <v>199012</v>
      </c>
      <c r="H1344">
        <v>88</v>
      </c>
      <c r="I1344">
        <v>120</v>
      </c>
      <c r="J1344">
        <v>1590</v>
      </c>
      <c r="K1344">
        <v>3964070</v>
      </c>
      <c r="L1344" t="s">
        <v>27</v>
      </c>
      <c r="M1344" t="str">
        <f>"H14620"</f>
        <v>H14620</v>
      </c>
      <c r="N1344" t="str">
        <f>"H146-20"</f>
        <v>H146-20</v>
      </c>
      <c r="O1344" t="str">
        <f>""</f>
        <v/>
      </c>
      <c r="P1344" t="s">
        <v>34</v>
      </c>
      <c r="Q1344" t="str">
        <f>"8718993212066"</f>
        <v>8718993212066</v>
      </c>
      <c r="R1344" t="s">
        <v>37</v>
      </c>
      <c r="T1344" s="1" t="s">
        <v>38</v>
      </c>
      <c r="U1344">
        <v>2</v>
      </c>
      <c r="V1344" t="s">
        <v>34</v>
      </c>
      <c r="W1344" t="s">
        <v>34</v>
      </c>
      <c r="X1344" t="s">
        <v>30</v>
      </c>
    </row>
    <row r="1345" spans="1:25">
      <c r="A1345">
        <v>13531</v>
      </c>
      <c r="B1345" t="s">
        <v>25</v>
      </c>
      <c r="C1345" t="str">
        <f t="shared" si="41"/>
        <v>INTEGRA Saloon</v>
      </c>
      <c r="D1345" t="str">
        <f t="shared" si="43"/>
        <v>1.6 i</v>
      </c>
      <c r="E1345" t="s">
        <v>26</v>
      </c>
      <c r="F1345">
        <v>198501</v>
      </c>
      <c r="G1345">
        <v>199012</v>
      </c>
      <c r="H1345">
        <v>88</v>
      </c>
      <c r="I1345">
        <v>120</v>
      </c>
      <c r="J1345">
        <v>1590</v>
      </c>
      <c r="K1345">
        <v>867002</v>
      </c>
      <c r="L1345" t="s">
        <v>1238</v>
      </c>
      <c r="M1345" t="str">
        <f>"441848"</f>
        <v>441848</v>
      </c>
      <c r="N1345" t="str">
        <f>"441848"</f>
        <v>441848</v>
      </c>
      <c r="O1345" t="str">
        <f>""</f>
        <v/>
      </c>
      <c r="P1345" t="s">
        <v>39</v>
      </c>
      <c r="Q1345" t="str">
        <f>""</f>
        <v/>
      </c>
      <c r="R1345" t="s">
        <v>1239</v>
      </c>
      <c r="T1345" s="1" t="s">
        <v>1240</v>
      </c>
      <c r="U1345">
        <v>4</v>
      </c>
      <c r="V1345" t="s">
        <v>39</v>
      </c>
      <c r="W1345" t="s">
        <v>39</v>
      </c>
      <c r="X1345" t="s">
        <v>39</v>
      </c>
    </row>
    <row r="1346" spans="1:25">
      <c r="A1346">
        <v>13531</v>
      </c>
      <c r="B1346" t="s">
        <v>25</v>
      </c>
      <c r="C1346" t="str">
        <f t="shared" ref="C1346:C1409" si="44">"INTEGRA Saloon"</f>
        <v>INTEGRA Saloon</v>
      </c>
      <c r="D1346" t="str">
        <f t="shared" si="43"/>
        <v>1.6 i</v>
      </c>
      <c r="E1346" t="s">
        <v>26</v>
      </c>
      <c r="F1346">
        <v>198501</v>
      </c>
      <c r="G1346">
        <v>199012</v>
      </c>
      <c r="H1346">
        <v>88</v>
      </c>
      <c r="I1346">
        <v>120</v>
      </c>
      <c r="J1346">
        <v>1590</v>
      </c>
      <c r="K1346">
        <v>3033801</v>
      </c>
      <c r="L1346" t="s">
        <v>33</v>
      </c>
      <c r="M1346" t="str">
        <f>"J5114009"</f>
        <v>J5114009</v>
      </c>
      <c r="N1346" t="str">
        <f>"J5114009"</f>
        <v>J5114009</v>
      </c>
      <c r="O1346" t="str">
        <f>""</f>
        <v/>
      </c>
      <c r="P1346" t="s">
        <v>39</v>
      </c>
      <c r="Q1346" t="str">
        <f>"8711768068202"</f>
        <v>8711768068202</v>
      </c>
      <c r="R1346" t="s">
        <v>40</v>
      </c>
      <c r="T1346" s="1" t="s">
        <v>41</v>
      </c>
      <c r="U1346">
        <v>4</v>
      </c>
      <c r="V1346" t="s">
        <v>39</v>
      </c>
      <c r="W1346" t="s">
        <v>39</v>
      </c>
      <c r="X1346" t="s">
        <v>39</v>
      </c>
    </row>
    <row r="1347" spans="1:25">
      <c r="A1347">
        <v>13531</v>
      </c>
      <c r="B1347" t="s">
        <v>25</v>
      </c>
      <c r="C1347" t="str">
        <f t="shared" si="44"/>
        <v>INTEGRA Saloon</v>
      </c>
      <c r="D1347" t="str">
        <f t="shared" si="43"/>
        <v>1.6 i</v>
      </c>
      <c r="E1347" t="s">
        <v>26</v>
      </c>
      <c r="F1347">
        <v>198501</v>
      </c>
      <c r="G1347">
        <v>199012</v>
      </c>
      <c r="H1347">
        <v>88</v>
      </c>
      <c r="I1347">
        <v>120</v>
      </c>
      <c r="J1347">
        <v>1590</v>
      </c>
      <c r="K1347">
        <v>3033803</v>
      </c>
      <c r="L1347" t="s">
        <v>33</v>
      </c>
      <c r="M1347" t="str">
        <f>"J5114013"</f>
        <v>J5114013</v>
      </c>
      <c r="N1347" t="str">
        <f>"J5114013"</f>
        <v>J5114013</v>
      </c>
      <c r="O1347" t="str">
        <f>""</f>
        <v/>
      </c>
      <c r="P1347" t="s">
        <v>39</v>
      </c>
      <c r="Q1347" t="str">
        <f>"8711768068226"</f>
        <v>8711768068226</v>
      </c>
      <c r="R1347" t="s">
        <v>42</v>
      </c>
      <c r="T1347" s="1" t="s">
        <v>43</v>
      </c>
      <c r="U1347">
        <v>4</v>
      </c>
      <c r="V1347" t="s">
        <v>39</v>
      </c>
      <c r="W1347" t="s">
        <v>39</v>
      </c>
      <c r="X1347" t="s">
        <v>39</v>
      </c>
    </row>
    <row r="1348" spans="1:25">
      <c r="A1348">
        <v>13531</v>
      </c>
      <c r="B1348" t="s">
        <v>25</v>
      </c>
      <c r="C1348" t="str">
        <f t="shared" si="44"/>
        <v>INTEGRA Saloon</v>
      </c>
      <c r="D1348" t="str">
        <f t="shared" si="43"/>
        <v>1.6 i</v>
      </c>
      <c r="E1348" t="s">
        <v>26</v>
      </c>
      <c r="F1348">
        <v>198501</v>
      </c>
      <c r="G1348">
        <v>199012</v>
      </c>
      <c r="H1348">
        <v>88</v>
      </c>
      <c r="I1348">
        <v>120</v>
      </c>
      <c r="J1348">
        <v>1590</v>
      </c>
      <c r="K1348">
        <v>3964051</v>
      </c>
      <c r="L1348" t="s">
        <v>27</v>
      </c>
      <c r="M1348" t="str">
        <f>"H14520"</f>
        <v>H14520</v>
      </c>
      <c r="N1348" t="str">
        <f>"H145-20"</f>
        <v>H145-20</v>
      </c>
      <c r="O1348" t="str">
        <f>""</f>
        <v/>
      </c>
      <c r="P1348" t="s">
        <v>39</v>
      </c>
      <c r="Q1348" t="str">
        <f>""</f>
        <v/>
      </c>
      <c r="R1348" t="s">
        <v>44</v>
      </c>
      <c r="T1348" s="1" t="s">
        <v>45</v>
      </c>
      <c r="U1348">
        <v>4</v>
      </c>
      <c r="V1348" t="s">
        <v>39</v>
      </c>
      <c r="W1348" t="s">
        <v>39</v>
      </c>
      <c r="X1348" t="s">
        <v>39</v>
      </c>
    </row>
    <row r="1349" spans="1:25">
      <c r="A1349">
        <v>13531</v>
      </c>
      <c r="B1349" t="s">
        <v>25</v>
      </c>
      <c r="C1349" t="str">
        <f t="shared" si="44"/>
        <v>INTEGRA Saloon</v>
      </c>
      <c r="D1349" t="str">
        <f t="shared" si="43"/>
        <v>1.6 i</v>
      </c>
      <c r="E1349" t="s">
        <v>26</v>
      </c>
      <c r="F1349">
        <v>198501</v>
      </c>
      <c r="G1349">
        <v>199012</v>
      </c>
      <c r="H1349">
        <v>88</v>
      </c>
      <c r="I1349">
        <v>120</v>
      </c>
      <c r="J1349">
        <v>1590</v>
      </c>
      <c r="K1349">
        <v>700320</v>
      </c>
      <c r="L1349" t="s">
        <v>46</v>
      </c>
      <c r="M1349" t="str">
        <f>"AC1001K"</f>
        <v>AC1001K</v>
      </c>
      <c r="N1349" t="str">
        <f>"AC1001K"</f>
        <v>AC1001K</v>
      </c>
      <c r="O1349" t="str">
        <f>""</f>
        <v/>
      </c>
      <c r="P1349" t="s">
        <v>47</v>
      </c>
      <c r="Q1349" t="str">
        <f>""</f>
        <v/>
      </c>
      <c r="U1349">
        <v>5</v>
      </c>
      <c r="V1349" t="s">
        <v>47</v>
      </c>
      <c r="W1349" t="s">
        <v>48</v>
      </c>
      <c r="X1349" t="s">
        <v>49</v>
      </c>
      <c r="Y1349" t="s">
        <v>50</v>
      </c>
    </row>
    <row r="1350" spans="1:25">
      <c r="A1350">
        <v>13531</v>
      </c>
      <c r="B1350" t="s">
        <v>25</v>
      </c>
      <c r="C1350" t="str">
        <f t="shared" si="44"/>
        <v>INTEGRA Saloon</v>
      </c>
      <c r="D1350" t="str">
        <f t="shared" si="43"/>
        <v>1.6 i</v>
      </c>
      <c r="E1350" t="s">
        <v>26</v>
      </c>
      <c r="F1350">
        <v>198501</v>
      </c>
      <c r="G1350">
        <v>199012</v>
      </c>
      <c r="H1350">
        <v>88</v>
      </c>
      <c r="I1350">
        <v>120</v>
      </c>
      <c r="J1350">
        <v>1590</v>
      </c>
      <c r="K1350">
        <v>700322</v>
      </c>
      <c r="L1350" t="s">
        <v>46</v>
      </c>
      <c r="M1350" t="str">
        <f>"AC1002K"</f>
        <v>AC1002K</v>
      </c>
      <c r="N1350" t="str">
        <f>"AC1002K"</f>
        <v>AC1002K</v>
      </c>
      <c r="O1350" t="str">
        <f>""</f>
        <v/>
      </c>
      <c r="P1350" t="s">
        <v>47</v>
      </c>
      <c r="Q1350" t="str">
        <f>""</f>
        <v/>
      </c>
      <c r="U1350">
        <v>5</v>
      </c>
      <c r="V1350" t="s">
        <v>47</v>
      </c>
      <c r="W1350" t="s">
        <v>48</v>
      </c>
      <c r="X1350" t="s">
        <v>49</v>
      </c>
      <c r="Y1350" t="s">
        <v>50</v>
      </c>
    </row>
    <row r="1351" spans="1:25">
      <c r="A1351">
        <v>13531</v>
      </c>
      <c r="B1351" t="s">
        <v>25</v>
      </c>
      <c r="C1351" t="str">
        <f t="shared" si="44"/>
        <v>INTEGRA Saloon</v>
      </c>
      <c r="D1351" t="str">
        <f t="shared" si="43"/>
        <v>1.6 i</v>
      </c>
      <c r="E1351" t="s">
        <v>26</v>
      </c>
      <c r="F1351">
        <v>198501</v>
      </c>
      <c r="G1351">
        <v>199012</v>
      </c>
      <c r="H1351">
        <v>88</v>
      </c>
      <c r="I1351">
        <v>120</v>
      </c>
      <c r="J1351">
        <v>1590</v>
      </c>
      <c r="K1351">
        <v>751200</v>
      </c>
      <c r="L1351" t="s">
        <v>51</v>
      </c>
      <c r="M1351" t="str">
        <f>"GHO2800K"</f>
        <v>GHO2800K</v>
      </c>
      <c r="N1351" t="str">
        <f>"GHO2800K"</f>
        <v>GHO2800K</v>
      </c>
      <c r="O1351" t="str">
        <f>""</f>
        <v/>
      </c>
      <c r="P1351" t="s">
        <v>47</v>
      </c>
      <c r="Q1351" t="str">
        <f>""</f>
        <v/>
      </c>
      <c r="R1351" t="s">
        <v>52</v>
      </c>
      <c r="T1351" s="1" t="s">
        <v>53</v>
      </c>
      <c r="U1351">
        <v>5</v>
      </c>
      <c r="V1351" t="s">
        <v>47</v>
      </c>
      <c r="W1351" t="s">
        <v>48</v>
      </c>
      <c r="X1351" t="s">
        <v>49</v>
      </c>
      <c r="Y1351" t="s">
        <v>50</v>
      </c>
    </row>
    <row r="1352" spans="1:25">
      <c r="A1352">
        <v>13531</v>
      </c>
      <c r="B1352" t="s">
        <v>25</v>
      </c>
      <c r="C1352" t="str">
        <f t="shared" si="44"/>
        <v>INTEGRA Saloon</v>
      </c>
      <c r="D1352" t="str">
        <f t="shared" si="43"/>
        <v>1.6 i</v>
      </c>
      <c r="E1352" t="s">
        <v>26</v>
      </c>
      <c r="F1352">
        <v>198501</v>
      </c>
      <c r="G1352">
        <v>199012</v>
      </c>
      <c r="H1352">
        <v>88</v>
      </c>
      <c r="I1352">
        <v>120</v>
      </c>
      <c r="J1352">
        <v>1590</v>
      </c>
      <c r="K1352">
        <v>3470584</v>
      </c>
      <c r="L1352" t="s">
        <v>54</v>
      </c>
      <c r="M1352" t="str">
        <f>"J3581"</f>
        <v>J3581</v>
      </c>
      <c r="N1352" t="str">
        <f>"J3581"</f>
        <v>J3581</v>
      </c>
      <c r="O1352" t="str">
        <f>""</f>
        <v/>
      </c>
      <c r="P1352" t="s">
        <v>47</v>
      </c>
      <c r="Q1352" t="str">
        <f>"3599771182444"</f>
        <v>3599771182444</v>
      </c>
      <c r="R1352" t="s">
        <v>55</v>
      </c>
      <c r="S1352" t="s">
        <v>1628</v>
      </c>
      <c r="T1352" s="1" t="s">
        <v>1242</v>
      </c>
      <c r="U1352">
        <v>5</v>
      </c>
      <c r="V1352" t="s">
        <v>47</v>
      </c>
      <c r="W1352" t="s">
        <v>48</v>
      </c>
      <c r="X1352" t="s">
        <v>49</v>
      </c>
      <c r="Y1352" t="s">
        <v>50</v>
      </c>
    </row>
    <row r="1353" spans="1:25">
      <c r="A1353">
        <v>13531</v>
      </c>
      <c r="B1353" t="s">
        <v>25</v>
      </c>
      <c r="C1353" t="str">
        <f t="shared" si="44"/>
        <v>INTEGRA Saloon</v>
      </c>
      <c r="D1353" t="str">
        <f t="shared" si="43"/>
        <v>1.6 i</v>
      </c>
      <c r="E1353" t="s">
        <v>26</v>
      </c>
      <c r="F1353">
        <v>198501</v>
      </c>
      <c r="G1353">
        <v>199012</v>
      </c>
      <c r="H1353">
        <v>88</v>
      </c>
      <c r="I1353">
        <v>120</v>
      </c>
      <c r="J1353">
        <v>1590</v>
      </c>
      <c r="K1353">
        <v>3471074</v>
      </c>
      <c r="L1353" t="s">
        <v>54</v>
      </c>
      <c r="M1353" t="str">
        <f>"J8050"</f>
        <v>J8050</v>
      </c>
      <c r="N1353" t="str">
        <f>"J8050"</f>
        <v>J8050</v>
      </c>
      <c r="O1353" t="str">
        <f>""</f>
        <v/>
      </c>
      <c r="P1353" t="s">
        <v>47</v>
      </c>
      <c r="Q1353" t="str">
        <f>"3599771602737"</f>
        <v>3599771602737</v>
      </c>
      <c r="S1353" t="s">
        <v>1629</v>
      </c>
      <c r="U1353">
        <v>5</v>
      </c>
      <c r="V1353" t="s">
        <v>47</v>
      </c>
      <c r="W1353" t="s">
        <v>48</v>
      </c>
      <c r="X1353" t="s">
        <v>49</v>
      </c>
      <c r="Y1353" t="s">
        <v>50</v>
      </c>
    </row>
    <row r="1354" spans="1:25">
      <c r="A1354">
        <v>13531</v>
      </c>
      <c r="B1354" t="s">
        <v>25</v>
      </c>
      <c r="C1354" t="str">
        <f t="shared" si="44"/>
        <v>INTEGRA Saloon</v>
      </c>
      <c r="D1354" t="str">
        <f t="shared" si="43"/>
        <v>1.6 i</v>
      </c>
      <c r="E1354" t="s">
        <v>26</v>
      </c>
      <c r="F1354">
        <v>198501</v>
      </c>
      <c r="G1354">
        <v>199012</v>
      </c>
      <c r="H1354">
        <v>88</v>
      </c>
      <c r="I1354">
        <v>120</v>
      </c>
      <c r="J1354">
        <v>1590</v>
      </c>
      <c r="K1354">
        <v>4528780</v>
      </c>
      <c r="L1354" t="s">
        <v>59</v>
      </c>
      <c r="M1354" t="str">
        <f>"12040810"</f>
        <v>12040810</v>
      </c>
      <c r="N1354" t="str">
        <f>"12-040810"</f>
        <v>12-040810</v>
      </c>
      <c r="O1354" t="str">
        <f>""</f>
        <v/>
      </c>
      <c r="P1354" t="s">
        <v>47</v>
      </c>
      <c r="Q1354" t="str">
        <f>""</f>
        <v/>
      </c>
      <c r="R1354" t="s">
        <v>60</v>
      </c>
      <c r="S1354" t="s">
        <v>61</v>
      </c>
      <c r="T1354" s="1" t="s">
        <v>1244</v>
      </c>
      <c r="U1354">
        <v>5</v>
      </c>
      <c r="V1354" t="s">
        <v>47</v>
      </c>
      <c r="W1354" t="s">
        <v>48</v>
      </c>
      <c r="X1354" t="s">
        <v>49</v>
      </c>
      <c r="Y1354" t="s">
        <v>50</v>
      </c>
    </row>
    <row r="1355" spans="1:25">
      <c r="A1355">
        <v>13531</v>
      </c>
      <c r="B1355" t="s">
        <v>25</v>
      </c>
      <c r="C1355" t="str">
        <f t="shared" si="44"/>
        <v>INTEGRA Saloon</v>
      </c>
      <c r="D1355" t="str">
        <f t="shared" si="43"/>
        <v>1.6 i</v>
      </c>
      <c r="E1355" t="s">
        <v>26</v>
      </c>
      <c r="F1355">
        <v>198501</v>
      </c>
      <c r="G1355">
        <v>199012</v>
      </c>
      <c r="H1355">
        <v>88</v>
      </c>
      <c r="I1355">
        <v>120</v>
      </c>
      <c r="J1355">
        <v>1590</v>
      </c>
      <c r="K1355">
        <v>4528792</v>
      </c>
      <c r="L1355" t="s">
        <v>59</v>
      </c>
      <c r="M1355" t="str">
        <f>"12040850"</f>
        <v>12040850</v>
      </c>
      <c r="N1355" t="str">
        <f>"12-040850"</f>
        <v>12-040850</v>
      </c>
      <c r="O1355" t="str">
        <f>""</f>
        <v/>
      </c>
      <c r="P1355" t="s">
        <v>47</v>
      </c>
      <c r="Q1355" t="str">
        <f>""</f>
        <v/>
      </c>
      <c r="R1355" t="s">
        <v>63</v>
      </c>
      <c r="S1355" t="s">
        <v>64</v>
      </c>
      <c r="T1355" s="1" t="s">
        <v>65</v>
      </c>
      <c r="U1355">
        <v>5</v>
      </c>
      <c r="V1355" t="s">
        <v>47</v>
      </c>
      <c r="W1355" t="s">
        <v>48</v>
      </c>
      <c r="X1355" t="s">
        <v>49</v>
      </c>
      <c r="Y1355" t="s">
        <v>50</v>
      </c>
    </row>
    <row r="1356" spans="1:25">
      <c r="A1356">
        <v>13531</v>
      </c>
      <c r="B1356" t="s">
        <v>25</v>
      </c>
      <c r="C1356" t="str">
        <f t="shared" si="44"/>
        <v>INTEGRA Saloon</v>
      </c>
      <c r="D1356" t="str">
        <f t="shared" si="43"/>
        <v>1.6 i</v>
      </c>
      <c r="E1356" t="s">
        <v>26</v>
      </c>
      <c r="F1356">
        <v>198501</v>
      </c>
      <c r="G1356">
        <v>199012</v>
      </c>
      <c r="H1356">
        <v>88</v>
      </c>
      <c r="I1356">
        <v>120</v>
      </c>
      <c r="J1356">
        <v>1590</v>
      </c>
      <c r="K1356">
        <v>1278114</v>
      </c>
      <c r="L1356" t="s">
        <v>66</v>
      </c>
      <c r="M1356" t="str">
        <f>"586021"</f>
        <v>586021</v>
      </c>
      <c r="N1356" t="str">
        <f>"586021"</f>
        <v>586021</v>
      </c>
      <c r="O1356" t="str">
        <f>""</f>
        <v/>
      </c>
      <c r="P1356" t="s">
        <v>67</v>
      </c>
      <c r="Q1356" t="str">
        <f>"3276425860216"</f>
        <v>3276425860216</v>
      </c>
      <c r="R1356" t="s">
        <v>68</v>
      </c>
      <c r="T1356" s="1" t="s">
        <v>69</v>
      </c>
      <c r="U1356">
        <v>7</v>
      </c>
      <c r="V1356" t="s">
        <v>67</v>
      </c>
      <c r="W1356" t="s">
        <v>70</v>
      </c>
      <c r="X1356" t="s">
        <v>71</v>
      </c>
      <c r="Y1356" t="s">
        <v>72</v>
      </c>
    </row>
    <row r="1357" spans="1:25">
      <c r="A1357">
        <v>13531</v>
      </c>
      <c r="B1357" t="s">
        <v>25</v>
      </c>
      <c r="C1357" t="str">
        <f t="shared" si="44"/>
        <v>INTEGRA Saloon</v>
      </c>
      <c r="D1357" t="str">
        <f t="shared" si="43"/>
        <v>1.6 i</v>
      </c>
      <c r="E1357" t="s">
        <v>26</v>
      </c>
      <c r="F1357">
        <v>198501</v>
      </c>
      <c r="G1357">
        <v>199012</v>
      </c>
      <c r="H1357">
        <v>88</v>
      </c>
      <c r="I1357">
        <v>120</v>
      </c>
      <c r="J1357">
        <v>1590</v>
      </c>
      <c r="K1357">
        <v>1539878</v>
      </c>
      <c r="L1357" t="s">
        <v>73</v>
      </c>
      <c r="M1357" t="str">
        <f>"OC194"</f>
        <v>OC194</v>
      </c>
      <c r="N1357" t="str">
        <f>"OC 194"</f>
        <v>OC 194</v>
      </c>
      <c r="O1357" t="str">
        <f>"78636300"</f>
        <v>78636300</v>
      </c>
      <c r="P1357" t="s">
        <v>67</v>
      </c>
      <c r="Q1357" t="str">
        <f>"4009026015698"</f>
        <v>4009026015698</v>
      </c>
      <c r="R1357" t="s">
        <v>1630</v>
      </c>
      <c r="T1357" s="1" t="s">
        <v>1631</v>
      </c>
      <c r="U1357">
        <v>7</v>
      </c>
      <c r="V1357" t="s">
        <v>67</v>
      </c>
      <c r="W1357" t="s">
        <v>70</v>
      </c>
      <c r="X1357" t="s">
        <v>71</v>
      </c>
      <c r="Y1357" t="s">
        <v>72</v>
      </c>
    </row>
    <row r="1358" spans="1:25">
      <c r="A1358">
        <v>13531</v>
      </c>
      <c r="B1358" t="s">
        <v>25</v>
      </c>
      <c r="C1358" t="str">
        <f t="shared" si="44"/>
        <v>INTEGRA Saloon</v>
      </c>
      <c r="D1358" t="str">
        <f t="shared" si="43"/>
        <v>1.6 i</v>
      </c>
      <c r="E1358" t="s">
        <v>26</v>
      </c>
      <c r="F1358">
        <v>198501</v>
      </c>
      <c r="G1358">
        <v>199012</v>
      </c>
      <c r="H1358">
        <v>88</v>
      </c>
      <c r="I1358">
        <v>120</v>
      </c>
      <c r="J1358">
        <v>1590</v>
      </c>
      <c r="K1358">
        <v>2088169</v>
      </c>
      <c r="L1358" t="s">
        <v>95</v>
      </c>
      <c r="M1358" t="str">
        <f>"154086363180"</f>
        <v>154086363180</v>
      </c>
      <c r="N1358" t="str">
        <f>"154086363180"</f>
        <v>154086363180</v>
      </c>
      <c r="O1358" t="str">
        <f>"OC194"</f>
        <v>OC194</v>
      </c>
      <c r="P1358" t="s">
        <v>67</v>
      </c>
      <c r="Q1358" t="str">
        <f>"4009026015698"</f>
        <v>4009026015698</v>
      </c>
      <c r="R1358" t="s">
        <v>101</v>
      </c>
      <c r="S1358" t="s">
        <v>1632</v>
      </c>
      <c r="T1358" s="1" t="s">
        <v>103</v>
      </c>
      <c r="U1358">
        <v>7</v>
      </c>
      <c r="V1358" t="s">
        <v>67</v>
      </c>
      <c r="W1358" t="s">
        <v>70</v>
      </c>
      <c r="X1358" t="s">
        <v>71</v>
      </c>
      <c r="Y1358" t="s">
        <v>72</v>
      </c>
    </row>
    <row r="1359" spans="1:25">
      <c r="A1359">
        <v>13531</v>
      </c>
      <c r="B1359" t="s">
        <v>25</v>
      </c>
      <c r="C1359" t="str">
        <f t="shared" si="44"/>
        <v>INTEGRA Saloon</v>
      </c>
      <c r="D1359" t="str">
        <f t="shared" si="43"/>
        <v>1.6 i</v>
      </c>
      <c r="E1359" t="s">
        <v>26</v>
      </c>
      <c r="F1359">
        <v>198501</v>
      </c>
      <c r="G1359">
        <v>199012</v>
      </c>
      <c r="H1359">
        <v>88</v>
      </c>
      <c r="I1359">
        <v>120</v>
      </c>
      <c r="J1359">
        <v>1590</v>
      </c>
      <c r="K1359">
        <v>2439420</v>
      </c>
      <c r="L1359" t="s">
        <v>1248</v>
      </c>
      <c r="M1359" t="str">
        <f>"2318200"</f>
        <v>2318200</v>
      </c>
      <c r="N1359" t="str">
        <f>"23.182.00"</f>
        <v>23.182.00</v>
      </c>
      <c r="O1359" t="str">
        <f>""</f>
        <v/>
      </c>
      <c r="P1359" t="s">
        <v>67</v>
      </c>
      <c r="Q1359" t="str">
        <f>"8003453041035"</f>
        <v>8003453041035</v>
      </c>
      <c r="R1359" t="s">
        <v>1249</v>
      </c>
      <c r="S1359" t="s">
        <v>1250</v>
      </c>
      <c r="T1359" s="1" t="s">
        <v>1251</v>
      </c>
      <c r="U1359">
        <v>7</v>
      </c>
      <c r="V1359" t="s">
        <v>67</v>
      </c>
      <c r="W1359" t="s">
        <v>70</v>
      </c>
      <c r="X1359" t="s">
        <v>71</v>
      </c>
      <c r="Y1359" t="s">
        <v>72</v>
      </c>
    </row>
    <row r="1360" spans="1:25">
      <c r="A1360">
        <v>13531</v>
      </c>
      <c r="B1360" t="s">
        <v>25</v>
      </c>
      <c r="C1360" t="str">
        <f t="shared" si="44"/>
        <v>INTEGRA Saloon</v>
      </c>
      <c r="D1360" t="str">
        <f t="shared" si="43"/>
        <v>1.6 i</v>
      </c>
      <c r="E1360" t="s">
        <v>26</v>
      </c>
      <c r="F1360">
        <v>198501</v>
      </c>
      <c r="G1360">
        <v>199012</v>
      </c>
      <c r="H1360">
        <v>88</v>
      </c>
      <c r="I1360">
        <v>120</v>
      </c>
      <c r="J1360">
        <v>1590</v>
      </c>
      <c r="K1360">
        <v>2439459</v>
      </c>
      <c r="L1360" t="s">
        <v>1248</v>
      </c>
      <c r="M1360" t="str">
        <f>"2324300"</f>
        <v>2324300</v>
      </c>
      <c r="N1360" t="str">
        <f>"23.243.00"</f>
        <v>23.243.00</v>
      </c>
      <c r="O1360" t="str">
        <f>""</f>
        <v/>
      </c>
      <c r="P1360" t="s">
        <v>67</v>
      </c>
      <c r="Q1360" t="str">
        <f>"8003453041769"</f>
        <v>8003453041769</v>
      </c>
      <c r="R1360" t="s">
        <v>1252</v>
      </c>
      <c r="S1360" t="s">
        <v>1253</v>
      </c>
      <c r="T1360" s="1" t="s">
        <v>1254</v>
      </c>
      <c r="U1360">
        <v>7</v>
      </c>
      <c r="V1360" t="s">
        <v>67</v>
      </c>
      <c r="W1360" t="s">
        <v>70</v>
      </c>
      <c r="X1360" t="s">
        <v>71</v>
      </c>
      <c r="Y1360" t="s">
        <v>72</v>
      </c>
    </row>
    <row r="1361" spans="1:25">
      <c r="A1361">
        <v>13531</v>
      </c>
      <c r="B1361" t="s">
        <v>25</v>
      </c>
      <c r="C1361" t="str">
        <f t="shared" si="44"/>
        <v>INTEGRA Saloon</v>
      </c>
      <c r="D1361" t="str">
        <f t="shared" si="43"/>
        <v>1.6 i</v>
      </c>
      <c r="E1361" t="s">
        <v>26</v>
      </c>
      <c r="F1361">
        <v>198501</v>
      </c>
      <c r="G1361">
        <v>199012</v>
      </c>
      <c r="H1361">
        <v>88</v>
      </c>
      <c r="I1361">
        <v>120</v>
      </c>
      <c r="J1361">
        <v>1590</v>
      </c>
      <c r="K1361">
        <v>2495278</v>
      </c>
      <c r="L1361" t="s">
        <v>1255</v>
      </c>
      <c r="M1361" t="str">
        <f>"S3243R"</f>
        <v>S3243R</v>
      </c>
      <c r="N1361" t="str">
        <f>"S 3243 R"</f>
        <v>S 3243 R</v>
      </c>
      <c r="O1361" t="str">
        <f>""</f>
        <v/>
      </c>
      <c r="P1361" t="s">
        <v>67</v>
      </c>
      <c r="Q1361" t="str">
        <f>"8013097041223"</f>
        <v>8013097041223</v>
      </c>
      <c r="R1361" t="s">
        <v>1252</v>
      </c>
      <c r="S1361" t="s">
        <v>1253</v>
      </c>
      <c r="T1361" s="1" t="s">
        <v>1256</v>
      </c>
      <c r="U1361">
        <v>7</v>
      </c>
      <c r="V1361" t="s">
        <v>67</v>
      </c>
      <c r="W1361" t="s">
        <v>70</v>
      </c>
      <c r="X1361" t="s">
        <v>71</v>
      </c>
      <c r="Y1361" t="s">
        <v>72</v>
      </c>
    </row>
    <row r="1362" spans="1:25">
      <c r="A1362">
        <v>13531</v>
      </c>
      <c r="B1362" t="s">
        <v>25</v>
      </c>
      <c r="C1362" t="str">
        <f t="shared" si="44"/>
        <v>INTEGRA Saloon</v>
      </c>
      <c r="D1362" t="str">
        <f t="shared" si="43"/>
        <v>1.6 i</v>
      </c>
      <c r="E1362" t="s">
        <v>26</v>
      </c>
      <c r="F1362">
        <v>198501</v>
      </c>
      <c r="G1362">
        <v>199012</v>
      </c>
      <c r="H1362">
        <v>88</v>
      </c>
      <c r="I1362">
        <v>120</v>
      </c>
      <c r="J1362">
        <v>1590</v>
      </c>
      <c r="K1362">
        <v>2496750</v>
      </c>
      <c r="L1362" t="s">
        <v>1255</v>
      </c>
      <c r="M1362" t="str">
        <f>"S8240R"</f>
        <v>S8240R</v>
      </c>
      <c r="N1362" t="str">
        <f>"S 8240 R"</f>
        <v>S 8240 R</v>
      </c>
      <c r="O1362" t="str">
        <f>""</f>
        <v/>
      </c>
      <c r="P1362" t="s">
        <v>67</v>
      </c>
      <c r="Q1362" t="str">
        <f>"8013097040806"</f>
        <v>8013097040806</v>
      </c>
      <c r="R1362" t="s">
        <v>1249</v>
      </c>
      <c r="S1362" t="s">
        <v>1250</v>
      </c>
      <c r="T1362" s="1" t="s">
        <v>1257</v>
      </c>
      <c r="U1362">
        <v>7</v>
      </c>
      <c r="V1362" t="s">
        <v>67</v>
      </c>
      <c r="W1362" t="s">
        <v>70</v>
      </c>
      <c r="X1362" t="s">
        <v>71</v>
      </c>
      <c r="Y1362" t="s">
        <v>72</v>
      </c>
    </row>
    <row r="1363" spans="1:25">
      <c r="A1363">
        <v>13531</v>
      </c>
      <c r="B1363" t="s">
        <v>25</v>
      </c>
      <c r="C1363" t="str">
        <f t="shared" si="44"/>
        <v>INTEGRA Saloon</v>
      </c>
      <c r="D1363" t="str">
        <f t="shared" si="43"/>
        <v>1.6 i</v>
      </c>
      <c r="E1363" t="s">
        <v>26</v>
      </c>
      <c r="F1363">
        <v>198501</v>
      </c>
      <c r="G1363">
        <v>199012</v>
      </c>
      <c r="H1363">
        <v>88</v>
      </c>
      <c r="I1363">
        <v>120</v>
      </c>
      <c r="J1363">
        <v>1590</v>
      </c>
      <c r="K1363">
        <v>3026395</v>
      </c>
      <c r="L1363" t="s">
        <v>33</v>
      </c>
      <c r="M1363" t="str">
        <f>"J1314010"</f>
        <v>J1314010</v>
      </c>
      <c r="N1363" t="str">
        <f>"J1314010"</f>
        <v>J1314010</v>
      </c>
      <c r="O1363" t="str">
        <f>""</f>
        <v/>
      </c>
      <c r="P1363" t="s">
        <v>67</v>
      </c>
      <c r="Q1363" t="str">
        <f>"8711768032197"</f>
        <v>8711768032197</v>
      </c>
      <c r="R1363" t="s">
        <v>114</v>
      </c>
      <c r="T1363" s="1" t="s">
        <v>1258</v>
      </c>
      <c r="U1363">
        <v>7</v>
      </c>
      <c r="V1363" t="s">
        <v>67</v>
      </c>
      <c r="W1363" t="s">
        <v>70</v>
      </c>
      <c r="X1363" t="s">
        <v>71</v>
      </c>
      <c r="Y1363" t="s">
        <v>72</v>
      </c>
    </row>
    <row r="1364" spans="1:25">
      <c r="A1364">
        <v>13531</v>
      </c>
      <c r="B1364" t="s">
        <v>25</v>
      </c>
      <c r="C1364" t="str">
        <f t="shared" si="44"/>
        <v>INTEGRA Saloon</v>
      </c>
      <c r="D1364" t="str">
        <f t="shared" si="43"/>
        <v>1.6 i</v>
      </c>
      <c r="E1364" t="s">
        <v>26</v>
      </c>
      <c r="F1364">
        <v>198501</v>
      </c>
      <c r="G1364">
        <v>199012</v>
      </c>
      <c r="H1364">
        <v>88</v>
      </c>
      <c r="I1364">
        <v>120</v>
      </c>
      <c r="J1364">
        <v>1590</v>
      </c>
      <c r="K1364">
        <v>3280563</v>
      </c>
      <c r="L1364" t="s">
        <v>116</v>
      </c>
      <c r="M1364" t="str">
        <f>"OC194"</f>
        <v>OC194</v>
      </c>
      <c r="N1364" t="str">
        <f>"OC 194"</f>
        <v>OC 194</v>
      </c>
      <c r="O1364" t="str">
        <f>"78636318"</f>
        <v>78636318</v>
      </c>
      <c r="P1364" t="s">
        <v>67</v>
      </c>
      <c r="Q1364" t="str">
        <f>"4009026015698"</f>
        <v>4009026015698</v>
      </c>
      <c r="R1364" t="s">
        <v>1630</v>
      </c>
      <c r="T1364" s="1" t="s">
        <v>1631</v>
      </c>
      <c r="U1364">
        <v>7</v>
      </c>
      <c r="V1364" t="s">
        <v>67</v>
      </c>
      <c r="W1364" t="s">
        <v>70</v>
      </c>
      <c r="X1364" t="s">
        <v>71</v>
      </c>
      <c r="Y1364" t="s">
        <v>72</v>
      </c>
    </row>
    <row r="1365" spans="1:25">
      <c r="A1365">
        <v>13531</v>
      </c>
      <c r="B1365" t="s">
        <v>25</v>
      </c>
      <c r="C1365" t="str">
        <f t="shared" si="44"/>
        <v>INTEGRA Saloon</v>
      </c>
      <c r="D1365" t="str">
        <f t="shared" si="43"/>
        <v>1.6 i</v>
      </c>
      <c r="E1365" t="s">
        <v>26</v>
      </c>
      <c r="F1365">
        <v>198501</v>
      </c>
      <c r="G1365">
        <v>199012</v>
      </c>
      <c r="H1365">
        <v>88</v>
      </c>
      <c r="I1365">
        <v>120</v>
      </c>
      <c r="J1365">
        <v>1590</v>
      </c>
      <c r="K1365">
        <v>3653257</v>
      </c>
      <c r="L1365" t="s">
        <v>119</v>
      </c>
      <c r="M1365" t="str">
        <f>"XO42"</f>
        <v>XO42</v>
      </c>
      <c r="N1365" t="str">
        <f>"XO42"</f>
        <v>XO42</v>
      </c>
      <c r="O1365" t="str">
        <f>""</f>
        <v/>
      </c>
      <c r="P1365" t="s">
        <v>67</v>
      </c>
      <c r="Q1365" t="str">
        <f>""</f>
        <v/>
      </c>
      <c r="R1365" t="s">
        <v>122</v>
      </c>
      <c r="T1365" s="1" t="s">
        <v>1259</v>
      </c>
      <c r="U1365">
        <v>7</v>
      </c>
      <c r="V1365" t="s">
        <v>67</v>
      </c>
      <c r="W1365" t="s">
        <v>70</v>
      </c>
      <c r="X1365" t="s">
        <v>71</v>
      </c>
      <c r="Y1365" t="s">
        <v>72</v>
      </c>
    </row>
    <row r="1366" spans="1:25">
      <c r="A1366">
        <v>13531</v>
      </c>
      <c r="B1366" t="s">
        <v>25</v>
      </c>
      <c r="C1366" t="str">
        <f t="shared" si="44"/>
        <v>INTEGRA Saloon</v>
      </c>
      <c r="D1366" t="str">
        <f t="shared" si="43"/>
        <v>1.6 i</v>
      </c>
      <c r="E1366" t="s">
        <v>26</v>
      </c>
      <c r="F1366">
        <v>198501</v>
      </c>
      <c r="G1366">
        <v>199012</v>
      </c>
      <c r="H1366">
        <v>88</v>
      </c>
      <c r="I1366">
        <v>120</v>
      </c>
      <c r="J1366">
        <v>1590</v>
      </c>
      <c r="K1366">
        <v>1539724</v>
      </c>
      <c r="L1366" t="s">
        <v>73</v>
      </c>
      <c r="M1366" t="str">
        <f>"LX897"</f>
        <v>LX897</v>
      </c>
      <c r="N1366" t="str">
        <f>"LX 897"</f>
        <v>LX 897</v>
      </c>
      <c r="O1366" t="str">
        <f>"78444184"</f>
        <v>78444184</v>
      </c>
      <c r="P1366" t="s">
        <v>132</v>
      </c>
      <c r="Q1366" t="str">
        <f>"4009026103852"</f>
        <v>4009026103852</v>
      </c>
      <c r="R1366" t="s">
        <v>137</v>
      </c>
      <c r="T1366" s="1" t="s">
        <v>155</v>
      </c>
      <c r="U1366">
        <v>8</v>
      </c>
      <c r="V1366" t="s">
        <v>132</v>
      </c>
      <c r="W1366" t="s">
        <v>70</v>
      </c>
      <c r="X1366" t="s">
        <v>135</v>
      </c>
      <c r="Y1366" t="s">
        <v>136</v>
      </c>
    </row>
    <row r="1367" spans="1:25">
      <c r="A1367">
        <v>13531</v>
      </c>
      <c r="B1367" t="s">
        <v>25</v>
      </c>
      <c r="C1367" t="str">
        <f t="shared" si="44"/>
        <v>INTEGRA Saloon</v>
      </c>
      <c r="D1367" t="str">
        <f t="shared" si="43"/>
        <v>1.6 i</v>
      </c>
      <c r="E1367" t="s">
        <v>26</v>
      </c>
      <c r="F1367">
        <v>198501</v>
      </c>
      <c r="G1367">
        <v>199012</v>
      </c>
      <c r="H1367">
        <v>88</v>
      </c>
      <c r="I1367">
        <v>120</v>
      </c>
      <c r="J1367">
        <v>1590</v>
      </c>
      <c r="K1367">
        <v>2088030</v>
      </c>
      <c r="L1367" t="s">
        <v>95</v>
      </c>
      <c r="M1367" t="str">
        <f>"154084441920"</f>
        <v>154084441920</v>
      </c>
      <c r="N1367" t="str">
        <f>"154084441920"</f>
        <v>154084441920</v>
      </c>
      <c r="O1367" t="str">
        <f>"LX897"</f>
        <v>LX897</v>
      </c>
      <c r="P1367" t="s">
        <v>132</v>
      </c>
      <c r="Q1367" t="str">
        <f>"4009026103852"</f>
        <v>4009026103852</v>
      </c>
      <c r="R1367" t="s">
        <v>142</v>
      </c>
      <c r="S1367" t="s">
        <v>1632</v>
      </c>
      <c r="T1367" s="1" t="s">
        <v>143</v>
      </c>
      <c r="U1367">
        <v>8</v>
      </c>
      <c r="V1367" t="s">
        <v>132</v>
      </c>
      <c r="W1367" t="s">
        <v>70</v>
      </c>
      <c r="X1367" t="s">
        <v>135</v>
      </c>
      <c r="Y1367" t="s">
        <v>136</v>
      </c>
    </row>
    <row r="1368" spans="1:25">
      <c r="A1368">
        <v>13531</v>
      </c>
      <c r="B1368" t="s">
        <v>25</v>
      </c>
      <c r="C1368" t="str">
        <f t="shared" si="44"/>
        <v>INTEGRA Saloon</v>
      </c>
      <c r="D1368" t="str">
        <f t="shared" si="43"/>
        <v>1.6 i</v>
      </c>
      <c r="E1368" t="s">
        <v>26</v>
      </c>
      <c r="F1368">
        <v>198501</v>
      </c>
      <c r="G1368">
        <v>199012</v>
      </c>
      <c r="H1368">
        <v>88</v>
      </c>
      <c r="I1368">
        <v>120</v>
      </c>
      <c r="J1368">
        <v>1590</v>
      </c>
      <c r="K1368">
        <v>2441119</v>
      </c>
      <c r="L1368" t="s">
        <v>1248</v>
      </c>
      <c r="M1368" t="str">
        <f>"3024000"</f>
        <v>3024000</v>
      </c>
      <c r="N1368" t="str">
        <f>"30.240.00"</f>
        <v>30.240.00</v>
      </c>
      <c r="O1368" t="str">
        <f>""</f>
        <v/>
      </c>
      <c r="P1368" t="s">
        <v>132</v>
      </c>
      <c r="Q1368" t="str">
        <f>"8003453136830"</f>
        <v>8003453136830</v>
      </c>
      <c r="R1368" t="s">
        <v>1261</v>
      </c>
      <c r="T1368" s="1" t="s">
        <v>1262</v>
      </c>
      <c r="U1368">
        <v>8</v>
      </c>
      <c r="V1368" t="s">
        <v>132</v>
      </c>
      <c r="W1368" t="s">
        <v>70</v>
      </c>
      <c r="X1368" t="s">
        <v>135</v>
      </c>
      <c r="Y1368" t="s">
        <v>136</v>
      </c>
    </row>
    <row r="1369" spans="1:25">
      <c r="A1369">
        <v>13531</v>
      </c>
      <c r="B1369" t="s">
        <v>25</v>
      </c>
      <c r="C1369" t="str">
        <f t="shared" si="44"/>
        <v>INTEGRA Saloon</v>
      </c>
      <c r="D1369" t="str">
        <f t="shared" si="43"/>
        <v>1.6 i</v>
      </c>
      <c r="E1369" t="s">
        <v>26</v>
      </c>
      <c r="F1369">
        <v>198501</v>
      </c>
      <c r="G1369">
        <v>199012</v>
      </c>
      <c r="H1369">
        <v>88</v>
      </c>
      <c r="I1369">
        <v>120</v>
      </c>
      <c r="J1369">
        <v>1590</v>
      </c>
      <c r="K1369">
        <v>2494880</v>
      </c>
      <c r="L1369" t="s">
        <v>1255</v>
      </c>
      <c r="M1369" t="str">
        <f>"S2340A"</f>
        <v>S2340A</v>
      </c>
      <c r="N1369" t="str">
        <f>"S 2340 A"</f>
        <v>S 2340 A</v>
      </c>
      <c r="O1369" t="str">
        <f>""</f>
        <v/>
      </c>
      <c r="P1369" t="s">
        <v>132</v>
      </c>
      <c r="Q1369" t="str">
        <f>"8013097135991"</f>
        <v>8013097135991</v>
      </c>
      <c r="R1369" t="s">
        <v>1261</v>
      </c>
      <c r="T1369" s="1" t="s">
        <v>1263</v>
      </c>
      <c r="U1369">
        <v>8</v>
      </c>
      <c r="V1369" t="s">
        <v>132</v>
      </c>
      <c r="W1369" t="s">
        <v>70</v>
      </c>
      <c r="X1369" t="s">
        <v>135</v>
      </c>
      <c r="Y1369" t="s">
        <v>136</v>
      </c>
    </row>
    <row r="1370" spans="1:25">
      <c r="A1370">
        <v>13531</v>
      </c>
      <c r="B1370" t="s">
        <v>25</v>
      </c>
      <c r="C1370" t="str">
        <f t="shared" si="44"/>
        <v>INTEGRA Saloon</v>
      </c>
      <c r="D1370" t="str">
        <f t="shared" si="43"/>
        <v>1.6 i</v>
      </c>
      <c r="E1370" t="s">
        <v>26</v>
      </c>
      <c r="F1370">
        <v>198501</v>
      </c>
      <c r="G1370">
        <v>199012</v>
      </c>
      <c r="H1370">
        <v>88</v>
      </c>
      <c r="I1370">
        <v>120</v>
      </c>
      <c r="J1370">
        <v>1590</v>
      </c>
      <c r="K1370">
        <v>2717457</v>
      </c>
      <c r="L1370" t="s">
        <v>149</v>
      </c>
      <c r="M1370" t="str">
        <f>"A141326"</f>
        <v>A141326</v>
      </c>
      <c r="N1370" t="str">
        <f>"A141326"</f>
        <v>A141326</v>
      </c>
      <c r="O1370" t="str">
        <f>""</f>
        <v/>
      </c>
      <c r="P1370" t="s">
        <v>132</v>
      </c>
      <c r="Q1370" t="str">
        <f>"5901225744586"</f>
        <v>5901225744586</v>
      </c>
      <c r="T1370" t="s">
        <v>1264</v>
      </c>
      <c r="U1370">
        <v>8</v>
      </c>
      <c r="V1370" t="s">
        <v>132</v>
      </c>
      <c r="W1370" t="s">
        <v>70</v>
      </c>
      <c r="X1370" t="s">
        <v>135</v>
      </c>
      <c r="Y1370" t="s">
        <v>136</v>
      </c>
    </row>
    <row r="1371" spans="1:25">
      <c r="A1371">
        <v>13531</v>
      </c>
      <c r="B1371" t="s">
        <v>25</v>
      </c>
      <c r="C1371" t="str">
        <f t="shared" si="44"/>
        <v>INTEGRA Saloon</v>
      </c>
      <c r="D1371" t="str">
        <f t="shared" si="43"/>
        <v>1.6 i</v>
      </c>
      <c r="E1371" t="s">
        <v>26</v>
      </c>
      <c r="F1371">
        <v>198501</v>
      </c>
      <c r="G1371">
        <v>199012</v>
      </c>
      <c r="H1371">
        <v>88</v>
      </c>
      <c r="I1371">
        <v>120</v>
      </c>
      <c r="J1371">
        <v>1590</v>
      </c>
      <c r="K1371">
        <v>2999895</v>
      </c>
      <c r="L1371" t="s">
        <v>151</v>
      </c>
      <c r="M1371" t="str">
        <f>"18039"</f>
        <v>18039</v>
      </c>
      <c r="N1371" t="str">
        <f>"18039"</f>
        <v>18039</v>
      </c>
      <c r="O1371" t="str">
        <f>""</f>
        <v/>
      </c>
      <c r="P1371" t="s">
        <v>132</v>
      </c>
      <c r="Q1371" t="str">
        <f>""</f>
        <v/>
      </c>
      <c r="T1371" s="1" t="s">
        <v>1633</v>
      </c>
      <c r="U1371">
        <v>8</v>
      </c>
      <c r="V1371" t="s">
        <v>132</v>
      </c>
      <c r="W1371" t="s">
        <v>70</v>
      </c>
      <c r="X1371" t="s">
        <v>135</v>
      </c>
      <c r="Y1371" t="s">
        <v>136</v>
      </c>
    </row>
    <row r="1372" spans="1:25">
      <c r="A1372">
        <v>13531</v>
      </c>
      <c r="B1372" t="s">
        <v>25</v>
      </c>
      <c r="C1372" t="str">
        <f t="shared" si="44"/>
        <v>INTEGRA Saloon</v>
      </c>
      <c r="D1372" t="str">
        <f t="shared" si="43"/>
        <v>1.6 i</v>
      </c>
      <c r="E1372" t="s">
        <v>26</v>
      </c>
      <c r="F1372">
        <v>198501</v>
      </c>
      <c r="G1372">
        <v>199012</v>
      </c>
      <c r="H1372">
        <v>88</v>
      </c>
      <c r="I1372">
        <v>120</v>
      </c>
      <c r="J1372">
        <v>1590</v>
      </c>
      <c r="K1372">
        <v>2999896</v>
      </c>
      <c r="L1372" t="s">
        <v>151</v>
      </c>
      <c r="M1372" t="str">
        <f>"18041"</f>
        <v>18041</v>
      </c>
      <c r="N1372" t="str">
        <f>"18041"</f>
        <v>18041</v>
      </c>
      <c r="O1372" t="str">
        <f>""</f>
        <v/>
      </c>
      <c r="P1372" t="s">
        <v>132</v>
      </c>
      <c r="Q1372" t="str">
        <f>""</f>
        <v/>
      </c>
      <c r="T1372" s="1" t="s">
        <v>152</v>
      </c>
      <c r="U1372">
        <v>8</v>
      </c>
      <c r="V1372" t="s">
        <v>132</v>
      </c>
      <c r="W1372" t="s">
        <v>70</v>
      </c>
      <c r="X1372" t="s">
        <v>135</v>
      </c>
      <c r="Y1372" t="s">
        <v>136</v>
      </c>
    </row>
    <row r="1373" spans="1:25">
      <c r="A1373">
        <v>13531</v>
      </c>
      <c r="B1373" t="s">
        <v>25</v>
      </c>
      <c r="C1373" t="str">
        <f t="shared" si="44"/>
        <v>INTEGRA Saloon</v>
      </c>
      <c r="D1373" t="str">
        <f t="shared" si="43"/>
        <v>1.6 i</v>
      </c>
      <c r="E1373" t="s">
        <v>26</v>
      </c>
      <c r="F1373">
        <v>198501</v>
      </c>
      <c r="G1373">
        <v>199012</v>
      </c>
      <c r="H1373">
        <v>88</v>
      </c>
      <c r="I1373">
        <v>120</v>
      </c>
      <c r="J1373">
        <v>1590</v>
      </c>
      <c r="K1373">
        <v>3026664</v>
      </c>
      <c r="L1373" t="s">
        <v>33</v>
      </c>
      <c r="M1373" t="str">
        <f>"J1324006"</f>
        <v>J1324006</v>
      </c>
      <c r="N1373" t="str">
        <f>"J1324006"</f>
        <v>J1324006</v>
      </c>
      <c r="O1373" t="str">
        <f>""</f>
        <v/>
      </c>
      <c r="P1373" t="s">
        <v>132</v>
      </c>
      <c r="Q1373" t="str">
        <f>"8711768033873"</f>
        <v>8711768033873</v>
      </c>
      <c r="R1373" t="s">
        <v>153</v>
      </c>
      <c r="T1373" s="1" t="s">
        <v>154</v>
      </c>
      <c r="U1373">
        <v>8</v>
      </c>
      <c r="V1373" t="s">
        <v>132</v>
      </c>
      <c r="W1373" t="s">
        <v>70</v>
      </c>
      <c r="X1373" t="s">
        <v>135</v>
      </c>
      <c r="Y1373" t="s">
        <v>136</v>
      </c>
    </row>
    <row r="1374" spans="1:25">
      <c r="A1374">
        <v>13531</v>
      </c>
      <c r="B1374" t="s">
        <v>25</v>
      </c>
      <c r="C1374" t="str">
        <f t="shared" si="44"/>
        <v>INTEGRA Saloon</v>
      </c>
      <c r="D1374" t="str">
        <f t="shared" si="43"/>
        <v>1.6 i</v>
      </c>
      <c r="E1374" t="s">
        <v>26</v>
      </c>
      <c r="F1374">
        <v>198501</v>
      </c>
      <c r="G1374">
        <v>199012</v>
      </c>
      <c r="H1374">
        <v>88</v>
      </c>
      <c r="I1374">
        <v>120</v>
      </c>
      <c r="J1374">
        <v>1590</v>
      </c>
      <c r="K1374">
        <v>3026688</v>
      </c>
      <c r="L1374" t="s">
        <v>33</v>
      </c>
      <c r="M1374" t="str">
        <f>"J1324032"</f>
        <v>J1324032</v>
      </c>
      <c r="N1374" t="str">
        <f>"J1324032"</f>
        <v>J1324032</v>
      </c>
      <c r="O1374" t="str">
        <f>""</f>
        <v/>
      </c>
      <c r="P1374" t="s">
        <v>132</v>
      </c>
      <c r="Q1374" t="str">
        <f>"8711768034115"</f>
        <v>8711768034115</v>
      </c>
      <c r="R1374" t="s">
        <v>1634</v>
      </c>
      <c r="T1374" t="s">
        <v>1635</v>
      </c>
      <c r="U1374">
        <v>8</v>
      </c>
      <c r="V1374" t="s">
        <v>132</v>
      </c>
      <c r="W1374" t="s">
        <v>70</v>
      </c>
      <c r="X1374" t="s">
        <v>135</v>
      </c>
      <c r="Y1374" t="s">
        <v>136</v>
      </c>
    </row>
    <row r="1375" spans="1:25">
      <c r="A1375">
        <v>13531</v>
      </c>
      <c r="B1375" t="s">
        <v>25</v>
      </c>
      <c r="C1375" t="str">
        <f t="shared" si="44"/>
        <v>INTEGRA Saloon</v>
      </c>
      <c r="D1375" t="str">
        <f t="shared" si="43"/>
        <v>1.6 i</v>
      </c>
      <c r="E1375" t="s">
        <v>26</v>
      </c>
      <c r="F1375">
        <v>198501</v>
      </c>
      <c r="G1375">
        <v>199012</v>
      </c>
      <c r="H1375">
        <v>88</v>
      </c>
      <c r="I1375">
        <v>120</v>
      </c>
      <c r="J1375">
        <v>1590</v>
      </c>
      <c r="K1375">
        <v>3278320</v>
      </c>
      <c r="L1375" t="s">
        <v>116</v>
      </c>
      <c r="M1375" t="str">
        <f>"LX897"</f>
        <v>LX897</v>
      </c>
      <c r="N1375" t="str">
        <f>"LX 897"</f>
        <v>LX 897</v>
      </c>
      <c r="O1375" t="str">
        <f>"78444192"</f>
        <v>78444192</v>
      </c>
      <c r="P1375" t="s">
        <v>132</v>
      </c>
      <c r="Q1375" t="str">
        <f>"4009026103852"</f>
        <v>4009026103852</v>
      </c>
      <c r="R1375" t="s">
        <v>137</v>
      </c>
      <c r="T1375" s="1" t="s">
        <v>155</v>
      </c>
      <c r="U1375">
        <v>8</v>
      </c>
      <c r="V1375" t="s">
        <v>132</v>
      </c>
      <c r="W1375" t="s">
        <v>70</v>
      </c>
      <c r="X1375" t="s">
        <v>135</v>
      </c>
      <c r="Y1375" t="s">
        <v>136</v>
      </c>
    </row>
    <row r="1376" spans="1:25">
      <c r="A1376">
        <v>13531</v>
      </c>
      <c r="B1376" t="s">
        <v>25</v>
      </c>
      <c r="C1376" t="str">
        <f t="shared" si="44"/>
        <v>INTEGRA Saloon</v>
      </c>
      <c r="D1376" t="str">
        <f t="shared" si="43"/>
        <v>1.6 i</v>
      </c>
      <c r="E1376" t="s">
        <v>26</v>
      </c>
      <c r="F1376">
        <v>198501</v>
      </c>
      <c r="G1376">
        <v>199012</v>
      </c>
      <c r="H1376">
        <v>88</v>
      </c>
      <c r="I1376">
        <v>120</v>
      </c>
      <c r="J1376">
        <v>1590</v>
      </c>
      <c r="K1376">
        <v>3349579</v>
      </c>
      <c r="L1376" t="s">
        <v>1265</v>
      </c>
      <c r="M1376" t="str">
        <f>"332021"</f>
        <v>332021</v>
      </c>
      <c r="N1376" t="str">
        <f>"33-2021"</f>
        <v>33-2021</v>
      </c>
      <c r="O1376" t="str">
        <f>""</f>
        <v/>
      </c>
      <c r="P1376" t="s">
        <v>132</v>
      </c>
      <c r="Q1376" t="str">
        <f>""</f>
        <v/>
      </c>
      <c r="U1376">
        <v>8</v>
      </c>
      <c r="V1376" t="s">
        <v>132</v>
      </c>
      <c r="W1376" t="s">
        <v>70</v>
      </c>
      <c r="X1376" t="s">
        <v>135</v>
      </c>
      <c r="Y1376" t="s">
        <v>136</v>
      </c>
    </row>
    <row r="1377" spans="1:25">
      <c r="A1377">
        <v>13531</v>
      </c>
      <c r="B1377" t="s">
        <v>25</v>
      </c>
      <c r="C1377" t="str">
        <f t="shared" si="44"/>
        <v>INTEGRA Saloon</v>
      </c>
      <c r="D1377" t="str">
        <f t="shared" si="43"/>
        <v>1.6 i</v>
      </c>
      <c r="E1377" t="s">
        <v>26</v>
      </c>
      <c r="F1377">
        <v>198501</v>
      </c>
      <c r="G1377">
        <v>199012</v>
      </c>
      <c r="H1377">
        <v>88</v>
      </c>
      <c r="I1377">
        <v>120</v>
      </c>
      <c r="J1377">
        <v>1590</v>
      </c>
      <c r="K1377">
        <v>3522358</v>
      </c>
      <c r="L1377" t="s">
        <v>156</v>
      </c>
      <c r="M1377" t="str">
        <f>"18039"</f>
        <v>18039</v>
      </c>
      <c r="N1377" t="str">
        <f>"18039"</f>
        <v>18039</v>
      </c>
      <c r="O1377" t="str">
        <f>""</f>
        <v/>
      </c>
      <c r="P1377" t="s">
        <v>132</v>
      </c>
      <c r="Q1377" t="str">
        <f>""</f>
        <v/>
      </c>
      <c r="T1377" s="1" t="s">
        <v>1633</v>
      </c>
      <c r="U1377">
        <v>8</v>
      </c>
      <c r="V1377" t="s">
        <v>132</v>
      </c>
      <c r="W1377" t="s">
        <v>70</v>
      </c>
      <c r="X1377" t="s">
        <v>135</v>
      </c>
      <c r="Y1377" t="s">
        <v>136</v>
      </c>
    </row>
    <row r="1378" spans="1:25">
      <c r="A1378">
        <v>13531</v>
      </c>
      <c r="B1378" t="s">
        <v>25</v>
      </c>
      <c r="C1378" t="str">
        <f t="shared" si="44"/>
        <v>INTEGRA Saloon</v>
      </c>
      <c r="D1378" t="str">
        <f t="shared" si="43"/>
        <v>1.6 i</v>
      </c>
      <c r="E1378" t="s">
        <v>26</v>
      </c>
      <c r="F1378">
        <v>198501</v>
      </c>
      <c r="G1378">
        <v>199012</v>
      </c>
      <c r="H1378">
        <v>88</v>
      </c>
      <c r="I1378">
        <v>120</v>
      </c>
      <c r="J1378">
        <v>1590</v>
      </c>
      <c r="K1378">
        <v>3522359</v>
      </c>
      <c r="L1378" t="s">
        <v>156</v>
      </c>
      <c r="M1378" t="str">
        <f>"18041"</f>
        <v>18041</v>
      </c>
      <c r="N1378" t="str">
        <f>"18041"</f>
        <v>18041</v>
      </c>
      <c r="O1378" t="str">
        <f>""</f>
        <v/>
      </c>
      <c r="P1378" t="s">
        <v>132</v>
      </c>
      <c r="Q1378" t="str">
        <f>""</f>
        <v/>
      </c>
      <c r="T1378" s="1" t="s">
        <v>152</v>
      </c>
      <c r="U1378">
        <v>8</v>
      </c>
      <c r="V1378" t="s">
        <v>132</v>
      </c>
      <c r="W1378" t="s">
        <v>70</v>
      </c>
      <c r="X1378" t="s">
        <v>135</v>
      </c>
      <c r="Y1378" t="s">
        <v>136</v>
      </c>
    </row>
    <row r="1379" spans="1:25">
      <c r="A1379">
        <v>13531</v>
      </c>
      <c r="B1379" t="s">
        <v>25</v>
      </c>
      <c r="C1379" t="str">
        <f t="shared" si="44"/>
        <v>INTEGRA Saloon</v>
      </c>
      <c r="D1379" t="str">
        <f t="shared" si="43"/>
        <v>1.6 i</v>
      </c>
      <c r="E1379" t="s">
        <v>26</v>
      </c>
      <c r="F1379">
        <v>198501</v>
      </c>
      <c r="G1379">
        <v>199012</v>
      </c>
      <c r="H1379">
        <v>88</v>
      </c>
      <c r="I1379">
        <v>120</v>
      </c>
      <c r="J1379">
        <v>1590</v>
      </c>
      <c r="K1379">
        <v>3649288</v>
      </c>
      <c r="L1379" t="s">
        <v>119</v>
      </c>
      <c r="M1379" t="str">
        <f>"XA378"</f>
        <v>XA378</v>
      </c>
      <c r="N1379" t="str">
        <f>"XA378"</f>
        <v>XA378</v>
      </c>
      <c r="O1379" t="str">
        <f>""</f>
        <v/>
      </c>
      <c r="P1379" t="s">
        <v>132</v>
      </c>
      <c r="Q1379" t="str">
        <f>""</f>
        <v/>
      </c>
      <c r="R1379" t="s">
        <v>1636</v>
      </c>
      <c r="T1379" s="1" t="s">
        <v>1637</v>
      </c>
      <c r="U1379">
        <v>8</v>
      </c>
      <c r="V1379" t="s">
        <v>132</v>
      </c>
      <c r="W1379" t="s">
        <v>70</v>
      </c>
      <c r="X1379" t="s">
        <v>135</v>
      </c>
      <c r="Y1379" t="s">
        <v>136</v>
      </c>
    </row>
    <row r="1380" spans="1:25">
      <c r="A1380">
        <v>13531</v>
      </c>
      <c r="B1380" t="s">
        <v>25</v>
      </c>
      <c r="C1380" t="str">
        <f t="shared" si="44"/>
        <v>INTEGRA Saloon</v>
      </c>
      <c r="D1380" t="str">
        <f t="shared" si="43"/>
        <v>1.6 i</v>
      </c>
      <c r="E1380" t="s">
        <v>26</v>
      </c>
      <c r="F1380">
        <v>198501</v>
      </c>
      <c r="G1380">
        <v>199012</v>
      </c>
      <c r="H1380">
        <v>88</v>
      </c>
      <c r="I1380">
        <v>120</v>
      </c>
      <c r="J1380">
        <v>1590</v>
      </c>
      <c r="K1380">
        <v>3952608</v>
      </c>
      <c r="L1380" t="s">
        <v>27</v>
      </c>
      <c r="M1380" t="str">
        <f>"03962304"</f>
        <v>03962304</v>
      </c>
      <c r="N1380" t="str">
        <f>"0396-2304"</f>
        <v>0396-2304</v>
      </c>
      <c r="O1380" t="str">
        <f>""</f>
        <v/>
      </c>
      <c r="P1380" t="s">
        <v>132</v>
      </c>
      <c r="Q1380" t="str">
        <f>"8718993011508"</f>
        <v>8718993011508</v>
      </c>
      <c r="R1380" t="s">
        <v>1638</v>
      </c>
      <c r="T1380" s="1" t="s">
        <v>1639</v>
      </c>
      <c r="U1380">
        <v>8</v>
      </c>
      <c r="V1380" t="s">
        <v>132</v>
      </c>
      <c r="W1380" t="s">
        <v>70</v>
      </c>
      <c r="X1380" t="s">
        <v>135</v>
      </c>
      <c r="Y1380" t="s">
        <v>136</v>
      </c>
    </row>
    <row r="1381" spans="1:25">
      <c r="A1381">
        <v>13531</v>
      </c>
      <c r="B1381" t="s">
        <v>25</v>
      </c>
      <c r="C1381" t="str">
        <f t="shared" si="44"/>
        <v>INTEGRA Saloon</v>
      </c>
      <c r="D1381" t="str">
        <f t="shared" si="43"/>
        <v>1.6 i</v>
      </c>
      <c r="E1381" t="s">
        <v>26</v>
      </c>
      <c r="F1381">
        <v>198501</v>
      </c>
      <c r="G1381">
        <v>199012</v>
      </c>
      <c r="H1381">
        <v>88</v>
      </c>
      <c r="I1381">
        <v>120</v>
      </c>
      <c r="J1381">
        <v>1590</v>
      </c>
      <c r="K1381">
        <v>3963826</v>
      </c>
      <c r="L1381" t="s">
        <v>27</v>
      </c>
      <c r="M1381" t="str">
        <f>"H08503"</f>
        <v>H08503</v>
      </c>
      <c r="N1381" t="str">
        <f>"H085-03"</f>
        <v>H085-03</v>
      </c>
      <c r="O1381" t="str">
        <f>""</f>
        <v/>
      </c>
      <c r="P1381" t="s">
        <v>132</v>
      </c>
      <c r="Q1381" t="str">
        <f>"8718993208779"</f>
        <v>8718993208779</v>
      </c>
      <c r="R1381" t="s">
        <v>157</v>
      </c>
      <c r="T1381" s="1" t="s">
        <v>158</v>
      </c>
      <c r="U1381">
        <v>8</v>
      </c>
      <c r="V1381" t="s">
        <v>132</v>
      </c>
      <c r="W1381" t="s">
        <v>70</v>
      </c>
      <c r="X1381" t="s">
        <v>135</v>
      </c>
      <c r="Y1381" t="s">
        <v>136</v>
      </c>
    </row>
    <row r="1382" spans="1:25">
      <c r="A1382">
        <v>13531</v>
      </c>
      <c r="B1382" t="s">
        <v>25</v>
      </c>
      <c r="C1382" t="str">
        <f t="shared" si="44"/>
        <v>INTEGRA Saloon</v>
      </c>
      <c r="D1382" t="str">
        <f t="shared" si="43"/>
        <v>1.6 i</v>
      </c>
      <c r="E1382" t="s">
        <v>26</v>
      </c>
      <c r="F1382">
        <v>198501</v>
      </c>
      <c r="G1382">
        <v>199012</v>
      </c>
      <c r="H1382">
        <v>88</v>
      </c>
      <c r="I1382">
        <v>120</v>
      </c>
      <c r="J1382">
        <v>1590</v>
      </c>
      <c r="K1382">
        <v>2441639</v>
      </c>
      <c r="L1382" t="s">
        <v>1248</v>
      </c>
      <c r="M1382" t="str">
        <f>"3161500"</f>
        <v>3161500</v>
      </c>
      <c r="N1382" t="str">
        <f>"31.615.00"</f>
        <v>31.615.00</v>
      </c>
      <c r="O1382" t="str">
        <f>""</f>
        <v/>
      </c>
      <c r="P1382" t="s">
        <v>159</v>
      </c>
      <c r="Q1382" t="str">
        <f>"8003453153936"</f>
        <v>8003453153936</v>
      </c>
      <c r="R1382" t="s">
        <v>1266</v>
      </c>
      <c r="T1382" s="1" t="s">
        <v>1267</v>
      </c>
      <c r="U1382">
        <v>9</v>
      </c>
      <c r="V1382" t="s">
        <v>159</v>
      </c>
      <c r="W1382" t="s">
        <v>70</v>
      </c>
      <c r="X1382" t="s">
        <v>162</v>
      </c>
      <c r="Y1382" t="s">
        <v>163</v>
      </c>
    </row>
    <row r="1383" spans="1:25">
      <c r="A1383">
        <v>13531</v>
      </c>
      <c r="B1383" t="s">
        <v>25</v>
      </c>
      <c r="C1383" t="str">
        <f t="shared" si="44"/>
        <v>INTEGRA Saloon</v>
      </c>
      <c r="D1383" t="str">
        <f t="shared" si="43"/>
        <v>1.6 i</v>
      </c>
      <c r="E1383" t="s">
        <v>26</v>
      </c>
      <c r="F1383">
        <v>198501</v>
      </c>
      <c r="G1383">
        <v>199012</v>
      </c>
      <c r="H1383">
        <v>88</v>
      </c>
      <c r="I1383">
        <v>120</v>
      </c>
      <c r="J1383">
        <v>1590</v>
      </c>
      <c r="K1383">
        <v>2494651</v>
      </c>
      <c r="L1383" t="s">
        <v>1255</v>
      </c>
      <c r="M1383" t="str">
        <f>"S1615B"</f>
        <v>S1615B</v>
      </c>
      <c r="N1383" t="str">
        <f>"S 1615 B"</f>
        <v>S 1615 B</v>
      </c>
      <c r="O1383" t="str">
        <f>""</f>
        <v/>
      </c>
      <c r="P1383" t="s">
        <v>159</v>
      </c>
      <c r="Q1383" t="str">
        <f>""</f>
        <v/>
      </c>
      <c r="U1383">
        <v>9</v>
      </c>
      <c r="V1383" t="s">
        <v>159</v>
      </c>
      <c r="W1383" t="s">
        <v>70</v>
      </c>
      <c r="X1383" t="s">
        <v>162</v>
      </c>
      <c r="Y1383" t="s">
        <v>163</v>
      </c>
    </row>
    <row r="1384" spans="1:25">
      <c r="A1384">
        <v>13531</v>
      </c>
      <c r="B1384" t="s">
        <v>25</v>
      </c>
      <c r="C1384" t="str">
        <f t="shared" si="44"/>
        <v>INTEGRA Saloon</v>
      </c>
      <c r="D1384" t="str">
        <f t="shared" si="43"/>
        <v>1.6 i</v>
      </c>
      <c r="E1384" t="s">
        <v>26</v>
      </c>
      <c r="F1384">
        <v>198501</v>
      </c>
      <c r="G1384">
        <v>199012</v>
      </c>
      <c r="H1384">
        <v>88</v>
      </c>
      <c r="I1384">
        <v>120</v>
      </c>
      <c r="J1384">
        <v>1590</v>
      </c>
      <c r="K1384">
        <v>2716408</v>
      </c>
      <c r="L1384" t="s">
        <v>149</v>
      </c>
      <c r="M1384" t="str">
        <f>"A110481"</f>
        <v>A110481</v>
      </c>
      <c r="N1384" t="str">
        <f>"A110481"</f>
        <v>A110481</v>
      </c>
      <c r="O1384" t="str">
        <f>""</f>
        <v/>
      </c>
      <c r="P1384" t="s">
        <v>159</v>
      </c>
      <c r="Q1384" t="str">
        <f>"5901225736383"</f>
        <v>5901225736383</v>
      </c>
      <c r="R1384" t="s">
        <v>1268</v>
      </c>
      <c r="T1384" t="s">
        <v>1269</v>
      </c>
      <c r="U1384">
        <v>9</v>
      </c>
      <c r="V1384" t="s">
        <v>159</v>
      </c>
      <c r="W1384" t="s">
        <v>70</v>
      </c>
      <c r="X1384" t="s">
        <v>162</v>
      </c>
      <c r="Y1384" t="s">
        <v>163</v>
      </c>
    </row>
    <row r="1385" spans="1:25">
      <c r="A1385">
        <v>13531</v>
      </c>
      <c r="B1385" t="s">
        <v>25</v>
      </c>
      <c r="C1385" t="str">
        <f t="shared" si="44"/>
        <v>INTEGRA Saloon</v>
      </c>
      <c r="D1385" t="str">
        <f t="shared" si="43"/>
        <v>1.6 i</v>
      </c>
      <c r="E1385" t="s">
        <v>26</v>
      </c>
      <c r="F1385">
        <v>198501</v>
      </c>
      <c r="G1385">
        <v>199012</v>
      </c>
      <c r="H1385">
        <v>88</v>
      </c>
      <c r="I1385">
        <v>120</v>
      </c>
      <c r="J1385">
        <v>1590</v>
      </c>
      <c r="K1385">
        <v>3026968</v>
      </c>
      <c r="L1385" t="s">
        <v>33</v>
      </c>
      <c r="M1385" t="str">
        <f>"J1334005"</f>
        <v>J1334005</v>
      </c>
      <c r="N1385" t="str">
        <f>"J1334005"</f>
        <v>J1334005</v>
      </c>
      <c r="O1385" t="str">
        <f>""</f>
        <v/>
      </c>
      <c r="P1385" t="s">
        <v>159</v>
      </c>
      <c r="Q1385" t="str">
        <f>"8711768035877"</f>
        <v>8711768035877</v>
      </c>
      <c r="R1385" t="s">
        <v>167</v>
      </c>
      <c r="T1385" s="1" t="s">
        <v>168</v>
      </c>
      <c r="U1385">
        <v>9</v>
      </c>
      <c r="V1385" t="s">
        <v>159</v>
      </c>
      <c r="W1385" t="s">
        <v>70</v>
      </c>
      <c r="X1385" t="s">
        <v>162</v>
      </c>
      <c r="Y1385" t="s">
        <v>163</v>
      </c>
    </row>
    <row r="1386" spans="1:25">
      <c r="A1386">
        <v>13531</v>
      </c>
      <c r="B1386" t="s">
        <v>25</v>
      </c>
      <c r="C1386" t="str">
        <f t="shared" si="44"/>
        <v>INTEGRA Saloon</v>
      </c>
      <c r="D1386" t="str">
        <f t="shared" si="43"/>
        <v>1.6 i</v>
      </c>
      <c r="E1386" t="s">
        <v>26</v>
      </c>
      <c r="F1386">
        <v>198501</v>
      </c>
      <c r="G1386">
        <v>199012</v>
      </c>
      <c r="H1386">
        <v>88</v>
      </c>
      <c r="I1386">
        <v>120</v>
      </c>
      <c r="J1386">
        <v>1590</v>
      </c>
      <c r="K1386">
        <v>3650049</v>
      </c>
      <c r="L1386" t="s">
        <v>119</v>
      </c>
      <c r="M1386" t="str">
        <f>"XB132"</f>
        <v>XB132</v>
      </c>
      <c r="N1386" t="str">
        <f>"XB132"</f>
        <v>XB132</v>
      </c>
      <c r="O1386" t="str">
        <f>""</f>
        <v/>
      </c>
      <c r="P1386" t="s">
        <v>159</v>
      </c>
      <c r="Q1386" t="str">
        <f>""</f>
        <v/>
      </c>
      <c r="R1386" t="s">
        <v>1270</v>
      </c>
      <c r="T1386" t="s">
        <v>1271</v>
      </c>
      <c r="U1386">
        <v>9</v>
      </c>
      <c r="V1386" t="s">
        <v>159</v>
      </c>
      <c r="W1386" t="s">
        <v>70</v>
      </c>
      <c r="X1386" t="s">
        <v>162</v>
      </c>
      <c r="Y1386" t="s">
        <v>163</v>
      </c>
    </row>
    <row r="1387" spans="1:25">
      <c r="A1387">
        <v>13531</v>
      </c>
      <c r="B1387" t="s">
        <v>25</v>
      </c>
      <c r="C1387" t="str">
        <f t="shared" si="44"/>
        <v>INTEGRA Saloon</v>
      </c>
      <c r="D1387" t="str">
        <f t="shared" si="43"/>
        <v>1.6 i</v>
      </c>
      <c r="E1387" t="s">
        <v>26</v>
      </c>
      <c r="F1387">
        <v>198501</v>
      </c>
      <c r="G1387">
        <v>199012</v>
      </c>
      <c r="H1387">
        <v>88</v>
      </c>
      <c r="I1387">
        <v>120</v>
      </c>
      <c r="J1387">
        <v>1590</v>
      </c>
      <c r="K1387">
        <v>3963878</v>
      </c>
      <c r="L1387" t="s">
        <v>27</v>
      </c>
      <c r="M1387" t="str">
        <f>"H09501"</f>
        <v>H09501</v>
      </c>
      <c r="N1387" t="str">
        <f>"H095-01"</f>
        <v>H095-01</v>
      </c>
      <c r="O1387" t="str">
        <f>""</f>
        <v/>
      </c>
      <c r="P1387" t="s">
        <v>159</v>
      </c>
      <c r="Q1387" t="str">
        <f>"8718993209325"</f>
        <v>8718993209325</v>
      </c>
      <c r="R1387" t="s">
        <v>169</v>
      </c>
      <c r="T1387" s="1" t="s">
        <v>170</v>
      </c>
      <c r="U1387">
        <v>9</v>
      </c>
      <c r="V1387" t="s">
        <v>159</v>
      </c>
      <c r="W1387" t="s">
        <v>70</v>
      </c>
      <c r="X1387" t="s">
        <v>162</v>
      </c>
      <c r="Y1387" t="s">
        <v>163</v>
      </c>
    </row>
    <row r="1388" spans="1:25">
      <c r="A1388">
        <v>13531</v>
      </c>
      <c r="B1388" t="s">
        <v>25</v>
      </c>
      <c r="C1388" t="str">
        <f t="shared" si="44"/>
        <v>INTEGRA Saloon</v>
      </c>
      <c r="D1388" t="str">
        <f t="shared" si="43"/>
        <v>1.6 i</v>
      </c>
      <c r="E1388" t="s">
        <v>26</v>
      </c>
      <c r="F1388">
        <v>198501</v>
      </c>
      <c r="G1388">
        <v>199012</v>
      </c>
      <c r="H1388">
        <v>88</v>
      </c>
      <c r="I1388">
        <v>120</v>
      </c>
      <c r="J1388">
        <v>1590</v>
      </c>
      <c r="K1388">
        <v>3963879</v>
      </c>
      <c r="L1388" t="s">
        <v>27</v>
      </c>
      <c r="M1388" t="str">
        <f>"H09503"</f>
        <v>H09503</v>
      </c>
      <c r="N1388" t="str">
        <f>"H095-03"</f>
        <v>H095-03</v>
      </c>
      <c r="O1388" t="str">
        <f>""</f>
        <v/>
      </c>
      <c r="P1388" t="s">
        <v>159</v>
      </c>
      <c r="Q1388" t="str">
        <f>"8718993209332"</f>
        <v>8718993209332</v>
      </c>
      <c r="R1388" t="s">
        <v>171</v>
      </c>
      <c r="T1388" t="s">
        <v>172</v>
      </c>
      <c r="U1388">
        <v>9</v>
      </c>
      <c r="V1388" t="s">
        <v>159</v>
      </c>
      <c r="W1388" t="s">
        <v>70</v>
      </c>
      <c r="X1388" t="s">
        <v>162</v>
      </c>
      <c r="Y1388" t="s">
        <v>163</v>
      </c>
    </row>
    <row r="1389" spans="1:25">
      <c r="A1389">
        <v>13531</v>
      </c>
      <c r="B1389" t="s">
        <v>25</v>
      </c>
      <c r="C1389" t="str">
        <f t="shared" si="44"/>
        <v>INTEGRA Saloon</v>
      </c>
      <c r="D1389" t="str">
        <f t="shared" si="43"/>
        <v>1.6 i</v>
      </c>
      <c r="E1389" t="s">
        <v>26</v>
      </c>
      <c r="F1389">
        <v>198501</v>
      </c>
      <c r="G1389">
        <v>199012</v>
      </c>
      <c r="H1389">
        <v>88</v>
      </c>
      <c r="I1389">
        <v>120</v>
      </c>
      <c r="J1389">
        <v>1590</v>
      </c>
      <c r="K1389">
        <v>700323</v>
      </c>
      <c r="L1389" t="s">
        <v>46</v>
      </c>
      <c r="M1389" t="str">
        <f>"AC3001"</f>
        <v>AC3001</v>
      </c>
      <c r="N1389" t="str">
        <f>"AC3001"</f>
        <v>AC3001</v>
      </c>
      <c r="O1389" t="str">
        <f>""</f>
        <v/>
      </c>
      <c r="P1389" t="s">
        <v>50</v>
      </c>
      <c r="Q1389" t="str">
        <f>""</f>
        <v/>
      </c>
      <c r="U1389">
        <v>13</v>
      </c>
      <c r="V1389" t="s">
        <v>50</v>
      </c>
      <c r="W1389" t="s">
        <v>197</v>
      </c>
      <c r="X1389" t="s">
        <v>49</v>
      </c>
      <c r="Y1389" t="s">
        <v>50</v>
      </c>
    </row>
    <row r="1390" spans="1:25">
      <c r="A1390">
        <v>13531</v>
      </c>
      <c r="B1390" t="s">
        <v>25</v>
      </c>
      <c r="C1390" t="str">
        <f t="shared" si="44"/>
        <v>INTEGRA Saloon</v>
      </c>
      <c r="D1390" t="str">
        <f t="shared" si="43"/>
        <v>1.6 i</v>
      </c>
      <c r="E1390" t="s">
        <v>26</v>
      </c>
      <c r="F1390">
        <v>198501</v>
      </c>
      <c r="G1390">
        <v>199012</v>
      </c>
      <c r="H1390">
        <v>88</v>
      </c>
      <c r="I1390">
        <v>120</v>
      </c>
      <c r="J1390">
        <v>1590</v>
      </c>
      <c r="K1390">
        <v>700324</v>
      </c>
      <c r="L1390" t="s">
        <v>46</v>
      </c>
      <c r="M1390" t="str">
        <f>"AC3002"</f>
        <v>AC3002</v>
      </c>
      <c r="N1390" t="str">
        <f>"AC3002"</f>
        <v>AC3002</v>
      </c>
      <c r="O1390" t="str">
        <f>""</f>
        <v/>
      </c>
      <c r="P1390" t="s">
        <v>50</v>
      </c>
      <c r="Q1390" t="str">
        <f>""</f>
        <v/>
      </c>
      <c r="U1390">
        <v>13</v>
      </c>
      <c r="V1390" t="s">
        <v>50</v>
      </c>
      <c r="W1390" t="s">
        <v>197</v>
      </c>
      <c r="X1390" t="s">
        <v>49</v>
      </c>
      <c r="Y1390" t="s">
        <v>50</v>
      </c>
    </row>
    <row r="1391" spans="1:25">
      <c r="A1391">
        <v>13531</v>
      </c>
      <c r="B1391" t="s">
        <v>25</v>
      </c>
      <c r="C1391" t="str">
        <f t="shared" si="44"/>
        <v>INTEGRA Saloon</v>
      </c>
      <c r="D1391" t="str">
        <f t="shared" si="43"/>
        <v>1.6 i</v>
      </c>
      <c r="E1391" t="s">
        <v>26</v>
      </c>
      <c r="F1391">
        <v>198501</v>
      </c>
      <c r="G1391">
        <v>199012</v>
      </c>
      <c r="H1391">
        <v>88</v>
      </c>
      <c r="I1391">
        <v>120</v>
      </c>
      <c r="J1391">
        <v>1590</v>
      </c>
      <c r="K1391">
        <v>700325</v>
      </c>
      <c r="L1391" t="s">
        <v>46</v>
      </c>
      <c r="M1391" t="str">
        <f>"AC3003"</f>
        <v>AC3003</v>
      </c>
      <c r="N1391" t="str">
        <f>"AC3003"</f>
        <v>AC3003</v>
      </c>
      <c r="O1391" t="str">
        <f>""</f>
        <v/>
      </c>
      <c r="P1391" t="s">
        <v>50</v>
      </c>
      <c r="Q1391" t="str">
        <f>""</f>
        <v/>
      </c>
      <c r="U1391">
        <v>13</v>
      </c>
      <c r="V1391" t="s">
        <v>50</v>
      </c>
      <c r="W1391" t="s">
        <v>197</v>
      </c>
      <c r="X1391" t="s">
        <v>49</v>
      </c>
      <c r="Y1391" t="s">
        <v>50</v>
      </c>
    </row>
    <row r="1392" spans="1:25">
      <c r="A1392">
        <v>13531</v>
      </c>
      <c r="B1392" t="s">
        <v>25</v>
      </c>
      <c r="C1392" t="str">
        <f t="shared" si="44"/>
        <v>INTEGRA Saloon</v>
      </c>
      <c r="D1392" t="str">
        <f t="shared" si="43"/>
        <v>1.6 i</v>
      </c>
      <c r="E1392" t="s">
        <v>26</v>
      </c>
      <c r="F1392">
        <v>198501</v>
      </c>
      <c r="G1392">
        <v>199012</v>
      </c>
      <c r="H1392">
        <v>88</v>
      </c>
      <c r="I1392">
        <v>120</v>
      </c>
      <c r="J1392">
        <v>1590</v>
      </c>
      <c r="K1392">
        <v>700326</v>
      </c>
      <c r="L1392" t="s">
        <v>46</v>
      </c>
      <c r="M1392" t="str">
        <f>"AC3004"</f>
        <v>AC3004</v>
      </c>
      <c r="N1392" t="str">
        <f>"AC3004"</f>
        <v>AC3004</v>
      </c>
      <c r="O1392" t="str">
        <f>""</f>
        <v/>
      </c>
      <c r="P1392" t="s">
        <v>50</v>
      </c>
      <c r="Q1392" t="str">
        <f>""</f>
        <v/>
      </c>
      <c r="U1392">
        <v>13</v>
      </c>
      <c r="V1392" t="s">
        <v>50</v>
      </c>
      <c r="W1392" t="s">
        <v>197</v>
      </c>
      <c r="X1392" t="s">
        <v>49</v>
      </c>
      <c r="Y1392" t="s">
        <v>50</v>
      </c>
    </row>
    <row r="1393" spans="1:25">
      <c r="A1393">
        <v>13531</v>
      </c>
      <c r="B1393" t="s">
        <v>25</v>
      </c>
      <c r="C1393" t="str">
        <f t="shared" si="44"/>
        <v>INTEGRA Saloon</v>
      </c>
      <c r="D1393" t="str">
        <f t="shared" si="43"/>
        <v>1.6 i</v>
      </c>
      <c r="E1393" t="s">
        <v>26</v>
      </c>
      <c r="F1393">
        <v>198501</v>
      </c>
      <c r="G1393">
        <v>199012</v>
      </c>
      <c r="H1393">
        <v>88</v>
      </c>
      <c r="I1393">
        <v>120</v>
      </c>
      <c r="J1393">
        <v>1590</v>
      </c>
      <c r="K1393">
        <v>909887</v>
      </c>
      <c r="L1393" t="s">
        <v>198</v>
      </c>
      <c r="M1393" t="str">
        <f>"DA02002"</f>
        <v>DA02002</v>
      </c>
      <c r="N1393" t="str">
        <f>"DA02002"</f>
        <v>DA02002</v>
      </c>
      <c r="O1393" t="str">
        <f>""</f>
        <v/>
      </c>
      <c r="P1393" t="s">
        <v>50</v>
      </c>
      <c r="Q1393" t="str">
        <f>"5415047056968"</f>
        <v>5415047056968</v>
      </c>
      <c r="U1393">
        <v>13</v>
      </c>
      <c r="V1393" t="s">
        <v>50</v>
      </c>
      <c r="W1393" t="s">
        <v>197</v>
      </c>
      <c r="X1393" t="s">
        <v>49</v>
      </c>
      <c r="Y1393" t="s">
        <v>50</v>
      </c>
    </row>
    <row r="1394" spans="1:25">
      <c r="A1394">
        <v>13531</v>
      </c>
      <c r="B1394" t="s">
        <v>25</v>
      </c>
      <c r="C1394" t="str">
        <f t="shared" si="44"/>
        <v>INTEGRA Saloon</v>
      </c>
      <c r="D1394" t="str">
        <f t="shared" si="43"/>
        <v>1.6 i</v>
      </c>
      <c r="E1394" t="s">
        <v>26</v>
      </c>
      <c r="F1394">
        <v>198501</v>
      </c>
      <c r="G1394">
        <v>199012</v>
      </c>
      <c r="H1394">
        <v>88</v>
      </c>
      <c r="I1394">
        <v>120</v>
      </c>
      <c r="J1394">
        <v>1590</v>
      </c>
      <c r="K1394">
        <v>909888</v>
      </c>
      <c r="L1394" t="s">
        <v>198</v>
      </c>
      <c r="M1394" t="str">
        <f>"DA02004"</f>
        <v>DA02004</v>
      </c>
      <c r="N1394" t="str">
        <f>"DA02004"</f>
        <v>DA02004</v>
      </c>
      <c r="O1394" t="str">
        <f>""</f>
        <v/>
      </c>
      <c r="P1394" t="s">
        <v>50</v>
      </c>
      <c r="Q1394" t="str">
        <f>"5415047056975"</f>
        <v>5415047056975</v>
      </c>
      <c r="U1394">
        <v>13</v>
      </c>
      <c r="V1394" t="s">
        <v>50</v>
      </c>
      <c r="W1394" t="s">
        <v>197</v>
      </c>
      <c r="X1394" t="s">
        <v>49</v>
      </c>
      <c r="Y1394" t="s">
        <v>50</v>
      </c>
    </row>
    <row r="1395" spans="1:25">
      <c r="A1395">
        <v>13531</v>
      </c>
      <c r="B1395" t="s">
        <v>25</v>
      </c>
      <c r="C1395" t="str">
        <f t="shared" si="44"/>
        <v>INTEGRA Saloon</v>
      </c>
      <c r="D1395" t="str">
        <f t="shared" si="43"/>
        <v>1.6 i</v>
      </c>
      <c r="E1395" t="s">
        <v>26</v>
      </c>
      <c r="F1395">
        <v>198501</v>
      </c>
      <c r="G1395">
        <v>199012</v>
      </c>
      <c r="H1395">
        <v>88</v>
      </c>
      <c r="I1395">
        <v>120</v>
      </c>
      <c r="J1395">
        <v>1590</v>
      </c>
      <c r="K1395">
        <v>909889</v>
      </c>
      <c r="L1395" t="s">
        <v>198</v>
      </c>
      <c r="M1395" t="str">
        <f>"DA02006"</f>
        <v>DA02006</v>
      </c>
      <c r="N1395" t="str">
        <f>"DA02006"</f>
        <v>DA02006</v>
      </c>
      <c r="O1395" t="str">
        <f>""</f>
        <v/>
      </c>
      <c r="P1395" t="s">
        <v>50</v>
      </c>
      <c r="Q1395" t="str">
        <f>"5415047056982"</f>
        <v>5415047056982</v>
      </c>
      <c r="U1395">
        <v>13</v>
      </c>
      <c r="V1395" t="s">
        <v>50</v>
      </c>
      <c r="W1395" t="s">
        <v>197</v>
      </c>
      <c r="X1395" t="s">
        <v>49</v>
      </c>
      <c r="Y1395" t="s">
        <v>50</v>
      </c>
    </row>
    <row r="1396" spans="1:25">
      <c r="A1396">
        <v>13531</v>
      </c>
      <c r="B1396" t="s">
        <v>25</v>
      </c>
      <c r="C1396" t="str">
        <f t="shared" si="44"/>
        <v>INTEGRA Saloon</v>
      </c>
      <c r="D1396" t="str">
        <f t="shared" si="43"/>
        <v>1.6 i</v>
      </c>
      <c r="E1396" t="s">
        <v>26</v>
      </c>
      <c r="F1396">
        <v>198501</v>
      </c>
      <c r="G1396">
        <v>199012</v>
      </c>
      <c r="H1396">
        <v>88</v>
      </c>
      <c r="I1396">
        <v>120</v>
      </c>
      <c r="J1396">
        <v>1590</v>
      </c>
      <c r="K1396">
        <v>909890</v>
      </c>
      <c r="L1396" t="s">
        <v>198</v>
      </c>
      <c r="M1396" t="str">
        <f>"DA02008"</f>
        <v>DA02008</v>
      </c>
      <c r="N1396" t="str">
        <f>"DA02008"</f>
        <v>DA02008</v>
      </c>
      <c r="O1396" t="str">
        <f>""</f>
        <v/>
      </c>
      <c r="P1396" t="s">
        <v>50</v>
      </c>
      <c r="Q1396" t="str">
        <f>"5415047056999"</f>
        <v>5415047056999</v>
      </c>
      <c r="U1396">
        <v>13</v>
      </c>
      <c r="V1396" t="s">
        <v>50</v>
      </c>
      <c r="W1396" t="s">
        <v>197</v>
      </c>
      <c r="X1396" t="s">
        <v>49</v>
      </c>
      <c r="Y1396" t="s">
        <v>50</v>
      </c>
    </row>
    <row r="1397" spans="1:25">
      <c r="A1397">
        <v>13531</v>
      </c>
      <c r="B1397" t="s">
        <v>25</v>
      </c>
      <c r="C1397" t="str">
        <f t="shared" si="44"/>
        <v>INTEGRA Saloon</v>
      </c>
      <c r="D1397" t="str">
        <f t="shared" si="43"/>
        <v>1.6 i</v>
      </c>
      <c r="E1397" t="s">
        <v>26</v>
      </c>
      <c r="F1397">
        <v>198501</v>
      </c>
      <c r="G1397">
        <v>199012</v>
      </c>
      <c r="H1397">
        <v>88</v>
      </c>
      <c r="I1397">
        <v>120</v>
      </c>
      <c r="J1397">
        <v>1590</v>
      </c>
      <c r="K1397">
        <v>1136131</v>
      </c>
      <c r="L1397" t="s">
        <v>659</v>
      </c>
      <c r="M1397" t="str">
        <f>"052060"</f>
        <v>052060</v>
      </c>
      <c r="N1397" t="str">
        <f>"052.060"</f>
        <v>052.060</v>
      </c>
      <c r="O1397" t="str">
        <f>""</f>
        <v/>
      </c>
      <c r="P1397" t="s">
        <v>1288</v>
      </c>
      <c r="Q1397" t="str">
        <f>"4041248142851"</f>
        <v>4041248142851</v>
      </c>
      <c r="T1397" t="s">
        <v>1640</v>
      </c>
      <c r="U1397">
        <v>27</v>
      </c>
      <c r="V1397" t="s">
        <v>1288</v>
      </c>
      <c r="W1397" t="s">
        <v>640</v>
      </c>
      <c r="X1397" t="s">
        <v>641</v>
      </c>
      <c r="Y1397" t="s">
        <v>1290</v>
      </c>
    </row>
    <row r="1398" spans="1:25">
      <c r="A1398">
        <v>13531</v>
      </c>
      <c r="B1398" t="s">
        <v>25</v>
      </c>
      <c r="C1398" t="str">
        <f t="shared" si="44"/>
        <v>INTEGRA Saloon</v>
      </c>
      <c r="D1398" t="str">
        <f t="shared" si="43"/>
        <v>1.6 i</v>
      </c>
      <c r="E1398" t="s">
        <v>26</v>
      </c>
      <c r="F1398">
        <v>198501</v>
      </c>
      <c r="G1398">
        <v>199012</v>
      </c>
      <c r="H1398">
        <v>88</v>
      </c>
      <c r="I1398">
        <v>120</v>
      </c>
      <c r="J1398">
        <v>1590</v>
      </c>
      <c r="K1398">
        <v>2250672</v>
      </c>
      <c r="L1398" t="s">
        <v>636</v>
      </c>
      <c r="M1398" t="str">
        <f>"JD052"</f>
        <v>JD052</v>
      </c>
      <c r="N1398" t="str">
        <f>"JD052"</f>
        <v>JD052</v>
      </c>
      <c r="O1398" t="str">
        <f>""</f>
        <v/>
      </c>
      <c r="P1398" t="s">
        <v>1288</v>
      </c>
      <c r="Q1398" t="str">
        <f>""</f>
        <v/>
      </c>
      <c r="S1398" t="s">
        <v>1632</v>
      </c>
      <c r="T1398" t="s">
        <v>1289</v>
      </c>
      <c r="U1398">
        <v>27</v>
      </c>
      <c r="V1398" t="s">
        <v>1288</v>
      </c>
      <c r="W1398" t="s">
        <v>640</v>
      </c>
      <c r="X1398" t="s">
        <v>641</v>
      </c>
      <c r="Y1398" t="s">
        <v>1290</v>
      </c>
    </row>
    <row r="1399" spans="1:25">
      <c r="A1399">
        <v>13531</v>
      </c>
      <c r="B1399" t="s">
        <v>25</v>
      </c>
      <c r="C1399" t="str">
        <f t="shared" si="44"/>
        <v>INTEGRA Saloon</v>
      </c>
      <c r="D1399" t="str">
        <f t="shared" ref="D1399:D1462" si="45">"1.6 i"</f>
        <v>1.6 i</v>
      </c>
      <c r="E1399" t="s">
        <v>26</v>
      </c>
      <c r="F1399">
        <v>198501</v>
      </c>
      <c r="G1399">
        <v>199012</v>
      </c>
      <c r="H1399">
        <v>88</v>
      </c>
      <c r="I1399">
        <v>120</v>
      </c>
      <c r="J1399">
        <v>1590</v>
      </c>
      <c r="K1399">
        <v>4129629</v>
      </c>
      <c r="L1399" t="s">
        <v>1291</v>
      </c>
      <c r="M1399" t="str">
        <f>"MG8338"</f>
        <v>MG8338</v>
      </c>
      <c r="N1399" t="str">
        <f>"MG8338"</f>
        <v>MG8338</v>
      </c>
      <c r="O1399" t="str">
        <f>""</f>
        <v/>
      </c>
      <c r="P1399" t="s">
        <v>1288</v>
      </c>
      <c r="Q1399" t="str">
        <f>""</f>
        <v/>
      </c>
      <c r="R1399" t="s">
        <v>1292</v>
      </c>
      <c r="S1399" t="s">
        <v>1293</v>
      </c>
      <c r="T1399" t="s">
        <v>1641</v>
      </c>
      <c r="U1399">
        <v>27</v>
      </c>
      <c r="V1399" t="s">
        <v>1288</v>
      </c>
      <c r="W1399" t="s">
        <v>640</v>
      </c>
      <c r="X1399" t="s">
        <v>641</v>
      </c>
      <c r="Y1399" t="s">
        <v>1290</v>
      </c>
    </row>
    <row r="1400" spans="1:25">
      <c r="A1400">
        <v>13531</v>
      </c>
      <c r="B1400" t="s">
        <v>25</v>
      </c>
      <c r="C1400" t="str">
        <f t="shared" si="44"/>
        <v>INTEGRA Saloon</v>
      </c>
      <c r="D1400" t="str">
        <f t="shared" si="45"/>
        <v>1.6 i</v>
      </c>
      <c r="E1400" t="s">
        <v>26</v>
      </c>
      <c r="F1400">
        <v>198501</v>
      </c>
      <c r="G1400">
        <v>199012</v>
      </c>
      <c r="H1400">
        <v>88</v>
      </c>
      <c r="I1400">
        <v>120</v>
      </c>
      <c r="J1400">
        <v>1590</v>
      </c>
      <c r="K1400">
        <v>2250678</v>
      </c>
      <c r="L1400" t="s">
        <v>636</v>
      </c>
      <c r="M1400" t="str">
        <f>"JD075"</f>
        <v>JD075</v>
      </c>
      <c r="N1400" t="str">
        <f>"JD075"</f>
        <v>JD075</v>
      </c>
      <c r="O1400" t="str">
        <f>""</f>
        <v/>
      </c>
      <c r="P1400" t="s">
        <v>1295</v>
      </c>
      <c r="Q1400" t="str">
        <f>""</f>
        <v/>
      </c>
      <c r="S1400" t="s">
        <v>1632</v>
      </c>
      <c r="T1400" t="s">
        <v>1296</v>
      </c>
      <c r="U1400">
        <v>42</v>
      </c>
      <c r="V1400" t="s">
        <v>1295</v>
      </c>
      <c r="W1400" t="s">
        <v>640</v>
      </c>
      <c r="X1400" t="s">
        <v>641</v>
      </c>
      <c r="Y1400" t="s">
        <v>1297</v>
      </c>
    </row>
    <row r="1401" spans="1:25">
      <c r="A1401">
        <v>13531</v>
      </c>
      <c r="B1401" t="s">
        <v>25</v>
      </c>
      <c r="C1401" t="str">
        <f t="shared" si="44"/>
        <v>INTEGRA Saloon</v>
      </c>
      <c r="D1401" t="str">
        <f t="shared" si="45"/>
        <v>1.6 i</v>
      </c>
      <c r="E1401" t="s">
        <v>26</v>
      </c>
      <c r="F1401">
        <v>198501</v>
      </c>
      <c r="G1401">
        <v>199012</v>
      </c>
      <c r="H1401">
        <v>88</v>
      </c>
      <c r="I1401">
        <v>120</v>
      </c>
      <c r="J1401">
        <v>1590</v>
      </c>
      <c r="K1401">
        <v>4129391</v>
      </c>
      <c r="L1401" t="s">
        <v>1291</v>
      </c>
      <c r="M1401" t="str">
        <f>"MG6540"</f>
        <v>MG6540</v>
      </c>
      <c r="N1401" t="str">
        <f>"MG6540"</f>
        <v>MG6540</v>
      </c>
      <c r="O1401" t="str">
        <f>""</f>
        <v/>
      </c>
      <c r="P1401" t="s">
        <v>1295</v>
      </c>
      <c r="Q1401" t="str">
        <f>""</f>
        <v/>
      </c>
      <c r="R1401" t="s">
        <v>1298</v>
      </c>
      <c r="S1401" t="s">
        <v>1299</v>
      </c>
      <c r="T1401" t="s">
        <v>1642</v>
      </c>
      <c r="U1401">
        <v>42</v>
      </c>
      <c r="V1401" t="s">
        <v>1295</v>
      </c>
      <c r="W1401" t="s">
        <v>640</v>
      </c>
      <c r="X1401" t="s">
        <v>641</v>
      </c>
      <c r="Y1401" t="s">
        <v>1297</v>
      </c>
    </row>
    <row r="1402" spans="1:25">
      <c r="A1402">
        <v>13531</v>
      </c>
      <c r="B1402" t="s">
        <v>25</v>
      </c>
      <c r="C1402" t="str">
        <f t="shared" si="44"/>
        <v>INTEGRA Saloon</v>
      </c>
      <c r="D1402" t="str">
        <f t="shared" si="45"/>
        <v>1.6 i</v>
      </c>
      <c r="E1402" t="s">
        <v>26</v>
      </c>
      <c r="F1402">
        <v>198501</v>
      </c>
      <c r="G1402">
        <v>199012</v>
      </c>
      <c r="H1402">
        <v>88</v>
      </c>
      <c r="I1402">
        <v>120</v>
      </c>
      <c r="J1402">
        <v>1590</v>
      </c>
      <c r="K1402">
        <v>4129622</v>
      </c>
      <c r="L1402" t="s">
        <v>1291</v>
      </c>
      <c r="M1402" t="str">
        <f>"MG8331"</f>
        <v>MG8331</v>
      </c>
      <c r="N1402" t="str">
        <f>"MG8331"</f>
        <v>MG8331</v>
      </c>
      <c r="O1402" t="str">
        <f>""</f>
        <v/>
      </c>
      <c r="P1402" t="s">
        <v>1295</v>
      </c>
      <c r="Q1402" t="str">
        <f>""</f>
        <v/>
      </c>
      <c r="R1402" t="s">
        <v>1301</v>
      </c>
      <c r="S1402" t="s">
        <v>1302</v>
      </c>
      <c r="T1402" t="s">
        <v>1643</v>
      </c>
      <c r="U1402">
        <v>42</v>
      </c>
      <c r="V1402" t="s">
        <v>1295</v>
      </c>
      <c r="W1402" t="s">
        <v>640</v>
      </c>
      <c r="X1402" t="s">
        <v>641</v>
      </c>
      <c r="Y1402" t="s">
        <v>1297</v>
      </c>
    </row>
    <row r="1403" spans="1:25">
      <c r="A1403">
        <v>13531</v>
      </c>
      <c r="B1403" t="s">
        <v>25</v>
      </c>
      <c r="C1403" t="str">
        <f t="shared" si="44"/>
        <v>INTEGRA Saloon</v>
      </c>
      <c r="D1403" t="str">
        <f t="shared" si="45"/>
        <v>1.6 i</v>
      </c>
      <c r="E1403" t="s">
        <v>26</v>
      </c>
      <c r="F1403">
        <v>198501</v>
      </c>
      <c r="G1403">
        <v>199012</v>
      </c>
      <c r="H1403">
        <v>88</v>
      </c>
      <c r="I1403">
        <v>120</v>
      </c>
      <c r="J1403">
        <v>1590</v>
      </c>
      <c r="K1403">
        <v>3032402</v>
      </c>
      <c r="L1403" t="s">
        <v>33</v>
      </c>
      <c r="M1403" t="str">
        <f>"J4844008"</f>
        <v>J4844008</v>
      </c>
      <c r="N1403" t="str">
        <f>"J4844008"</f>
        <v>J4844008</v>
      </c>
      <c r="O1403" t="str">
        <f>""</f>
        <v/>
      </c>
      <c r="P1403" t="s">
        <v>206</v>
      </c>
      <c r="Q1403" t="str">
        <f>"8711768098988"</f>
        <v>8711768098988</v>
      </c>
      <c r="R1403" t="s">
        <v>207</v>
      </c>
      <c r="S1403" t="s">
        <v>208</v>
      </c>
      <c r="T1403" s="1" t="s">
        <v>209</v>
      </c>
      <c r="U1403">
        <v>51</v>
      </c>
      <c r="V1403" t="s">
        <v>206</v>
      </c>
      <c r="W1403" t="s">
        <v>210</v>
      </c>
      <c r="X1403" t="s">
        <v>211</v>
      </c>
      <c r="Y1403" t="s">
        <v>212</v>
      </c>
    </row>
    <row r="1404" spans="1:25">
      <c r="A1404">
        <v>13531</v>
      </c>
      <c r="B1404" t="s">
        <v>25</v>
      </c>
      <c r="C1404" t="str">
        <f t="shared" si="44"/>
        <v>INTEGRA Saloon</v>
      </c>
      <c r="D1404" t="str">
        <f t="shared" si="45"/>
        <v>1.6 i</v>
      </c>
      <c r="E1404" t="s">
        <v>26</v>
      </c>
      <c r="F1404">
        <v>198501</v>
      </c>
      <c r="G1404">
        <v>199012</v>
      </c>
      <c r="H1404">
        <v>88</v>
      </c>
      <c r="I1404">
        <v>120</v>
      </c>
      <c r="J1404">
        <v>1590</v>
      </c>
      <c r="K1404">
        <v>3032404</v>
      </c>
      <c r="L1404" t="s">
        <v>33</v>
      </c>
      <c r="M1404" t="str">
        <f>"J4844011"</f>
        <v>J4844011</v>
      </c>
      <c r="N1404" t="str">
        <f>"J4844011"</f>
        <v>J4844011</v>
      </c>
      <c r="O1404" t="str">
        <f>""</f>
        <v/>
      </c>
      <c r="P1404" t="s">
        <v>206</v>
      </c>
      <c r="Q1404" t="str">
        <f>"8711768137069"</f>
        <v>8711768137069</v>
      </c>
      <c r="R1404" t="s">
        <v>213</v>
      </c>
      <c r="S1404" t="s">
        <v>214</v>
      </c>
      <c r="T1404" s="1" t="s">
        <v>215</v>
      </c>
      <c r="U1404">
        <v>51</v>
      </c>
      <c r="V1404" t="s">
        <v>206</v>
      </c>
      <c r="W1404" t="s">
        <v>210</v>
      </c>
      <c r="X1404" t="s">
        <v>211</v>
      </c>
      <c r="Y1404" t="s">
        <v>212</v>
      </c>
    </row>
    <row r="1405" spans="1:25">
      <c r="A1405">
        <v>13531</v>
      </c>
      <c r="B1405" t="s">
        <v>25</v>
      </c>
      <c r="C1405" t="str">
        <f t="shared" si="44"/>
        <v>INTEGRA Saloon</v>
      </c>
      <c r="D1405" t="str">
        <f t="shared" si="45"/>
        <v>1.6 i</v>
      </c>
      <c r="E1405" t="s">
        <v>26</v>
      </c>
      <c r="F1405">
        <v>198501</v>
      </c>
      <c r="G1405">
        <v>199012</v>
      </c>
      <c r="H1405">
        <v>88</v>
      </c>
      <c r="I1405">
        <v>120</v>
      </c>
      <c r="J1405">
        <v>1590</v>
      </c>
      <c r="K1405">
        <v>3956470</v>
      </c>
      <c r="L1405" t="s">
        <v>27</v>
      </c>
      <c r="M1405" t="str">
        <f>"14528004"</f>
        <v>14528004</v>
      </c>
      <c r="N1405" t="str">
        <f>"1452-8004"</f>
        <v>1452-8004</v>
      </c>
      <c r="O1405" t="str">
        <f>""</f>
        <v/>
      </c>
      <c r="P1405" t="s">
        <v>206</v>
      </c>
      <c r="Q1405" t="str">
        <f>"8718993060919"</f>
        <v>8718993060919</v>
      </c>
      <c r="R1405" t="s">
        <v>207</v>
      </c>
      <c r="S1405" t="s">
        <v>216</v>
      </c>
      <c r="T1405" s="1" t="s">
        <v>217</v>
      </c>
      <c r="U1405">
        <v>51</v>
      </c>
      <c r="V1405" t="s">
        <v>206</v>
      </c>
      <c r="W1405" t="s">
        <v>210</v>
      </c>
      <c r="X1405" t="s">
        <v>211</v>
      </c>
      <c r="Y1405" t="s">
        <v>212</v>
      </c>
    </row>
    <row r="1406" spans="1:25">
      <c r="A1406">
        <v>13531</v>
      </c>
      <c r="B1406" t="s">
        <v>25</v>
      </c>
      <c r="C1406" t="str">
        <f t="shared" si="44"/>
        <v>INTEGRA Saloon</v>
      </c>
      <c r="D1406" t="str">
        <f t="shared" si="45"/>
        <v>1.6 i</v>
      </c>
      <c r="E1406" t="s">
        <v>26</v>
      </c>
      <c r="F1406">
        <v>198501</v>
      </c>
      <c r="G1406">
        <v>199012</v>
      </c>
      <c r="H1406">
        <v>88</v>
      </c>
      <c r="I1406">
        <v>120</v>
      </c>
      <c r="J1406">
        <v>1590</v>
      </c>
      <c r="K1406">
        <v>957005</v>
      </c>
      <c r="L1406" t="s">
        <v>218</v>
      </c>
      <c r="M1406" t="str">
        <f>"PRS0178"</f>
        <v>PRS0178</v>
      </c>
      <c r="N1406" t="str">
        <f>"PRS0178"</f>
        <v>PRS0178</v>
      </c>
      <c r="O1406" t="str">
        <f>""</f>
        <v/>
      </c>
      <c r="P1406" t="s">
        <v>219</v>
      </c>
      <c r="Q1406" t="str">
        <f>""</f>
        <v/>
      </c>
      <c r="R1406" t="s">
        <v>220</v>
      </c>
      <c r="S1406" t="s">
        <v>221</v>
      </c>
      <c r="T1406" s="1" t="s">
        <v>222</v>
      </c>
      <c r="U1406">
        <v>70</v>
      </c>
      <c r="V1406" t="s">
        <v>219</v>
      </c>
      <c r="W1406" t="s">
        <v>223</v>
      </c>
      <c r="X1406" t="s">
        <v>224</v>
      </c>
    </row>
    <row r="1407" spans="1:25">
      <c r="A1407">
        <v>13531</v>
      </c>
      <c r="B1407" t="s">
        <v>25</v>
      </c>
      <c r="C1407" t="str">
        <f t="shared" si="44"/>
        <v>INTEGRA Saloon</v>
      </c>
      <c r="D1407" t="str">
        <f t="shared" si="45"/>
        <v>1.6 i</v>
      </c>
      <c r="E1407" t="s">
        <v>26</v>
      </c>
      <c r="F1407">
        <v>198501</v>
      </c>
      <c r="G1407">
        <v>199012</v>
      </c>
      <c r="H1407">
        <v>88</v>
      </c>
      <c r="I1407">
        <v>120</v>
      </c>
      <c r="J1407">
        <v>1590</v>
      </c>
      <c r="K1407">
        <v>1677515</v>
      </c>
      <c r="L1407" t="s">
        <v>225</v>
      </c>
      <c r="M1407" t="str">
        <f>"361605J"</f>
        <v>361605J</v>
      </c>
      <c r="N1407" t="str">
        <f>"361605J"</f>
        <v>361605J</v>
      </c>
      <c r="O1407" t="str">
        <f>"361605"</f>
        <v>361605</v>
      </c>
      <c r="P1407" t="s">
        <v>219</v>
      </c>
      <c r="Q1407" t="str">
        <f>""</f>
        <v/>
      </c>
      <c r="R1407" t="s">
        <v>226</v>
      </c>
      <c r="T1407" s="1" t="s">
        <v>1307</v>
      </c>
      <c r="U1407">
        <v>70</v>
      </c>
      <c r="V1407" t="s">
        <v>219</v>
      </c>
      <c r="W1407" t="s">
        <v>223</v>
      </c>
      <c r="X1407" t="s">
        <v>224</v>
      </c>
    </row>
    <row r="1408" spans="1:25">
      <c r="A1408">
        <v>13531</v>
      </c>
      <c r="B1408" t="s">
        <v>25</v>
      </c>
      <c r="C1408" t="str">
        <f t="shared" si="44"/>
        <v>INTEGRA Saloon</v>
      </c>
      <c r="D1408" t="str">
        <f t="shared" si="45"/>
        <v>1.6 i</v>
      </c>
      <c r="E1408" t="s">
        <v>26</v>
      </c>
      <c r="F1408">
        <v>198501</v>
      </c>
      <c r="G1408">
        <v>199012</v>
      </c>
      <c r="H1408">
        <v>88</v>
      </c>
      <c r="I1408">
        <v>120</v>
      </c>
      <c r="J1408">
        <v>1590</v>
      </c>
      <c r="K1408">
        <v>1820665</v>
      </c>
      <c r="L1408" t="s">
        <v>228</v>
      </c>
      <c r="M1408" t="str">
        <f>"FSB220"</f>
        <v>FSB220</v>
      </c>
      <c r="N1408" t="str">
        <f>"FSB220"</f>
        <v>FSB220</v>
      </c>
      <c r="O1408" t="str">
        <f>""</f>
        <v/>
      </c>
      <c r="P1408" t="s">
        <v>219</v>
      </c>
      <c r="Q1408" t="str">
        <f>"5016687024302"</f>
        <v>5016687024302</v>
      </c>
      <c r="R1408" t="s">
        <v>229</v>
      </c>
      <c r="T1408" s="1" t="s">
        <v>230</v>
      </c>
      <c r="U1408">
        <v>70</v>
      </c>
      <c r="V1408" t="s">
        <v>219</v>
      </c>
      <c r="W1408" t="s">
        <v>223</v>
      </c>
      <c r="X1408" t="s">
        <v>224</v>
      </c>
    </row>
    <row r="1409" spans="1:24">
      <c r="A1409">
        <v>13531</v>
      </c>
      <c r="B1409" t="s">
        <v>25</v>
      </c>
      <c r="C1409" t="str">
        <f t="shared" si="44"/>
        <v>INTEGRA Saloon</v>
      </c>
      <c r="D1409" t="str">
        <f t="shared" si="45"/>
        <v>1.6 i</v>
      </c>
      <c r="E1409" t="s">
        <v>26</v>
      </c>
      <c r="F1409">
        <v>198501</v>
      </c>
      <c r="G1409">
        <v>199012</v>
      </c>
      <c r="H1409">
        <v>88</v>
      </c>
      <c r="I1409">
        <v>120</v>
      </c>
      <c r="J1409">
        <v>1590</v>
      </c>
      <c r="K1409">
        <v>1895866</v>
      </c>
      <c r="L1409" t="s">
        <v>231</v>
      </c>
      <c r="M1409" t="str">
        <f>"S28504"</f>
        <v>S28504</v>
      </c>
      <c r="N1409" t="str">
        <f>"S 28 504"</f>
        <v>S 28 504</v>
      </c>
      <c r="O1409" t="str">
        <f>""</f>
        <v/>
      </c>
      <c r="P1409" t="s">
        <v>219</v>
      </c>
      <c r="Q1409" t="str">
        <f>"8432509641255"</f>
        <v>8432509641255</v>
      </c>
      <c r="R1409" t="s">
        <v>232</v>
      </c>
      <c r="S1409" t="s">
        <v>221</v>
      </c>
      <c r="T1409" s="1" t="s">
        <v>233</v>
      </c>
      <c r="U1409">
        <v>70</v>
      </c>
      <c r="V1409" t="s">
        <v>219</v>
      </c>
      <c r="W1409" t="s">
        <v>223</v>
      </c>
      <c r="X1409" t="s">
        <v>224</v>
      </c>
    </row>
    <row r="1410" spans="1:24">
      <c r="A1410">
        <v>13531</v>
      </c>
      <c r="B1410" t="s">
        <v>25</v>
      </c>
      <c r="C1410" t="str">
        <f t="shared" ref="C1410:C1473" si="46">"INTEGRA Saloon"</f>
        <v>INTEGRA Saloon</v>
      </c>
      <c r="D1410" t="str">
        <f t="shared" si="45"/>
        <v>1.6 i</v>
      </c>
      <c r="E1410" t="s">
        <v>26</v>
      </c>
      <c r="F1410">
        <v>198501</v>
      </c>
      <c r="G1410">
        <v>199012</v>
      </c>
      <c r="H1410">
        <v>88</v>
      </c>
      <c r="I1410">
        <v>120</v>
      </c>
      <c r="J1410">
        <v>1590</v>
      </c>
      <c r="K1410">
        <v>2202151</v>
      </c>
      <c r="L1410" t="s">
        <v>181</v>
      </c>
      <c r="M1410" t="str">
        <f>"810040435"</f>
        <v>810040435</v>
      </c>
      <c r="N1410" t="str">
        <f>"8100 40435"</f>
        <v>8100 40435</v>
      </c>
      <c r="O1410" t="str">
        <f>""</f>
        <v/>
      </c>
      <c r="P1410" t="s">
        <v>219</v>
      </c>
      <c r="Q1410" t="str">
        <f>""</f>
        <v/>
      </c>
      <c r="S1410" t="s">
        <v>221</v>
      </c>
      <c r="U1410">
        <v>70</v>
      </c>
      <c r="V1410" t="s">
        <v>219</v>
      </c>
      <c r="W1410" t="s">
        <v>223</v>
      </c>
      <c r="X1410" t="s">
        <v>224</v>
      </c>
    </row>
    <row r="1411" spans="1:24">
      <c r="A1411">
        <v>13531</v>
      </c>
      <c r="B1411" t="s">
        <v>25</v>
      </c>
      <c r="C1411" t="str">
        <f t="shared" si="46"/>
        <v>INTEGRA Saloon</v>
      </c>
      <c r="D1411" t="str">
        <f t="shared" si="45"/>
        <v>1.6 i</v>
      </c>
      <c r="E1411" t="s">
        <v>26</v>
      </c>
      <c r="F1411">
        <v>198501</v>
      </c>
      <c r="G1411">
        <v>199012</v>
      </c>
      <c r="H1411">
        <v>88</v>
      </c>
      <c r="I1411">
        <v>120</v>
      </c>
      <c r="J1411">
        <v>1590</v>
      </c>
      <c r="K1411">
        <v>2311641</v>
      </c>
      <c r="L1411" t="s">
        <v>234</v>
      </c>
      <c r="M1411" t="str">
        <f>"530151"</f>
        <v>530151</v>
      </c>
      <c r="N1411" t="str">
        <f>"53-0151"</f>
        <v>53-0151</v>
      </c>
      <c r="O1411" t="str">
        <f>""</f>
        <v/>
      </c>
      <c r="P1411" t="s">
        <v>219</v>
      </c>
      <c r="Q1411" t="str">
        <f>""</f>
        <v/>
      </c>
      <c r="R1411" t="s">
        <v>220</v>
      </c>
      <c r="S1411" t="s">
        <v>221</v>
      </c>
      <c r="T1411" s="1" t="s">
        <v>235</v>
      </c>
      <c r="U1411">
        <v>70</v>
      </c>
      <c r="V1411" t="s">
        <v>219</v>
      </c>
      <c r="W1411" t="s">
        <v>223</v>
      </c>
      <c r="X1411" t="s">
        <v>224</v>
      </c>
    </row>
    <row r="1412" spans="1:24">
      <c r="A1412">
        <v>13531</v>
      </c>
      <c r="B1412" t="s">
        <v>25</v>
      </c>
      <c r="C1412" t="str">
        <f t="shared" si="46"/>
        <v>INTEGRA Saloon</v>
      </c>
      <c r="D1412" t="str">
        <f t="shared" si="45"/>
        <v>1.6 i</v>
      </c>
      <c r="E1412" t="s">
        <v>26</v>
      </c>
      <c r="F1412">
        <v>198501</v>
      </c>
      <c r="G1412">
        <v>199012</v>
      </c>
      <c r="H1412">
        <v>88</v>
      </c>
      <c r="I1412">
        <v>120</v>
      </c>
      <c r="J1412">
        <v>1590</v>
      </c>
      <c r="K1412">
        <v>2784767</v>
      </c>
      <c r="L1412" t="s">
        <v>236</v>
      </c>
      <c r="M1412" t="str">
        <f>"04820"</f>
        <v>04820</v>
      </c>
      <c r="N1412" t="str">
        <f>"04820"</f>
        <v>04820</v>
      </c>
      <c r="O1412" t="str">
        <f>"84820"</f>
        <v>84820</v>
      </c>
      <c r="P1412" t="s">
        <v>219</v>
      </c>
      <c r="Q1412" t="str">
        <f>"8032532039328"</f>
        <v>8032532039328</v>
      </c>
      <c r="R1412" t="s">
        <v>237</v>
      </c>
      <c r="S1412" t="s">
        <v>221</v>
      </c>
      <c r="T1412" s="1" t="s">
        <v>238</v>
      </c>
      <c r="U1412">
        <v>70</v>
      </c>
      <c r="V1412" t="s">
        <v>219</v>
      </c>
      <c r="W1412" t="s">
        <v>223</v>
      </c>
      <c r="X1412" t="s">
        <v>224</v>
      </c>
    </row>
    <row r="1413" spans="1:24">
      <c r="A1413">
        <v>13531</v>
      </c>
      <c r="B1413" t="s">
        <v>25</v>
      </c>
      <c r="C1413" t="str">
        <f t="shared" si="46"/>
        <v>INTEGRA Saloon</v>
      </c>
      <c r="D1413" t="str">
        <f t="shared" si="45"/>
        <v>1.6 i</v>
      </c>
      <c r="E1413" t="s">
        <v>26</v>
      </c>
      <c r="F1413">
        <v>198501</v>
      </c>
      <c r="G1413">
        <v>199012</v>
      </c>
      <c r="H1413">
        <v>88</v>
      </c>
      <c r="I1413">
        <v>120</v>
      </c>
      <c r="J1413">
        <v>1590</v>
      </c>
      <c r="K1413">
        <v>2806454</v>
      </c>
      <c r="L1413" t="s">
        <v>239</v>
      </c>
      <c r="M1413" t="str">
        <f>"044008"</f>
        <v>044008</v>
      </c>
      <c r="N1413" t="str">
        <f>"044.008"</f>
        <v>044.008</v>
      </c>
      <c r="O1413" t="str">
        <f>""</f>
        <v/>
      </c>
      <c r="P1413" t="s">
        <v>219</v>
      </c>
      <c r="Q1413" t="str">
        <f>""</f>
        <v/>
      </c>
      <c r="R1413" t="s">
        <v>240</v>
      </c>
      <c r="S1413" t="s">
        <v>221</v>
      </c>
      <c r="T1413" s="1" t="s">
        <v>241</v>
      </c>
      <c r="U1413">
        <v>70</v>
      </c>
      <c r="V1413" t="s">
        <v>219</v>
      </c>
      <c r="W1413" t="s">
        <v>223</v>
      </c>
      <c r="X1413" t="s">
        <v>224</v>
      </c>
    </row>
    <row r="1414" spans="1:24">
      <c r="A1414">
        <v>13531</v>
      </c>
      <c r="B1414" t="s">
        <v>25</v>
      </c>
      <c r="C1414" t="str">
        <f t="shared" si="46"/>
        <v>INTEGRA Saloon</v>
      </c>
      <c r="D1414" t="str">
        <f t="shared" si="45"/>
        <v>1.6 i</v>
      </c>
      <c r="E1414" t="s">
        <v>26</v>
      </c>
      <c r="F1414">
        <v>198501</v>
      </c>
      <c r="G1414">
        <v>199012</v>
      </c>
      <c r="H1414">
        <v>88</v>
      </c>
      <c r="I1414">
        <v>120</v>
      </c>
      <c r="J1414">
        <v>1590</v>
      </c>
      <c r="K1414">
        <v>2992756</v>
      </c>
      <c r="L1414" t="s">
        <v>242</v>
      </c>
      <c r="M1414" t="str">
        <f>"N1361"</f>
        <v>N1361</v>
      </c>
      <c r="N1414" t="str">
        <f>"N1361"</f>
        <v>N1361</v>
      </c>
      <c r="O1414" t="str">
        <f>""</f>
        <v/>
      </c>
      <c r="P1414" t="s">
        <v>219</v>
      </c>
      <c r="Q1414" t="str">
        <f>"8426345515856"</f>
        <v>8426345515856</v>
      </c>
      <c r="R1414" t="s">
        <v>229</v>
      </c>
      <c r="T1414" s="1" t="s">
        <v>243</v>
      </c>
      <c r="U1414">
        <v>70</v>
      </c>
      <c r="V1414" t="s">
        <v>219</v>
      </c>
      <c r="W1414" t="s">
        <v>223</v>
      </c>
      <c r="X1414" t="s">
        <v>224</v>
      </c>
    </row>
    <row r="1415" spans="1:24">
      <c r="A1415">
        <v>13531</v>
      </c>
      <c r="B1415" t="s">
        <v>25</v>
      </c>
      <c r="C1415" t="str">
        <f t="shared" si="46"/>
        <v>INTEGRA Saloon</v>
      </c>
      <c r="D1415" t="str">
        <f t="shared" si="45"/>
        <v>1.6 i</v>
      </c>
      <c r="E1415" t="s">
        <v>26</v>
      </c>
      <c r="F1415">
        <v>198501</v>
      </c>
      <c r="G1415">
        <v>199012</v>
      </c>
      <c r="H1415">
        <v>88</v>
      </c>
      <c r="I1415">
        <v>120</v>
      </c>
      <c r="J1415">
        <v>1590</v>
      </c>
      <c r="K1415">
        <v>3030583</v>
      </c>
      <c r="L1415" t="s">
        <v>33</v>
      </c>
      <c r="M1415" t="str">
        <f>"J3504009"</f>
        <v>J3504009</v>
      </c>
      <c r="N1415" t="str">
        <f>"J3504009"</f>
        <v>J3504009</v>
      </c>
      <c r="O1415" t="str">
        <f>""</f>
        <v/>
      </c>
      <c r="P1415" t="s">
        <v>219</v>
      </c>
      <c r="Q1415" t="str">
        <f>"8711768054830"</f>
        <v>8711768054830</v>
      </c>
      <c r="R1415" t="s">
        <v>244</v>
      </c>
      <c r="S1415" t="s">
        <v>221</v>
      </c>
      <c r="T1415" s="1" t="s">
        <v>245</v>
      </c>
      <c r="U1415">
        <v>70</v>
      </c>
      <c r="V1415" t="s">
        <v>219</v>
      </c>
      <c r="W1415" t="s">
        <v>223</v>
      </c>
      <c r="X1415" t="s">
        <v>224</v>
      </c>
    </row>
    <row r="1416" spans="1:24">
      <c r="A1416">
        <v>13531</v>
      </c>
      <c r="B1416" t="s">
        <v>25</v>
      </c>
      <c r="C1416" t="str">
        <f t="shared" si="46"/>
        <v>INTEGRA Saloon</v>
      </c>
      <c r="D1416" t="str">
        <f t="shared" si="45"/>
        <v>1.6 i</v>
      </c>
      <c r="E1416" t="s">
        <v>26</v>
      </c>
      <c r="F1416">
        <v>198501</v>
      </c>
      <c r="G1416">
        <v>199012</v>
      </c>
      <c r="H1416">
        <v>88</v>
      </c>
      <c r="I1416">
        <v>120</v>
      </c>
      <c r="J1416">
        <v>1590</v>
      </c>
      <c r="K1416">
        <v>3234712</v>
      </c>
      <c r="L1416" t="s">
        <v>199</v>
      </c>
      <c r="M1416" t="str">
        <f>"04820"</f>
        <v>04820</v>
      </c>
      <c r="N1416" t="str">
        <f>"04820"</f>
        <v>04820</v>
      </c>
      <c r="O1416" t="str">
        <f>""</f>
        <v/>
      </c>
      <c r="P1416" t="s">
        <v>219</v>
      </c>
      <c r="Q1416" t="str">
        <f>""</f>
        <v/>
      </c>
      <c r="R1416" t="s">
        <v>237</v>
      </c>
      <c r="S1416" t="s">
        <v>221</v>
      </c>
      <c r="T1416" s="1" t="s">
        <v>246</v>
      </c>
      <c r="U1416">
        <v>70</v>
      </c>
      <c r="V1416" t="s">
        <v>219</v>
      </c>
      <c r="W1416" t="s">
        <v>223</v>
      </c>
      <c r="X1416" t="s">
        <v>224</v>
      </c>
    </row>
    <row r="1417" spans="1:24">
      <c r="A1417">
        <v>13531</v>
      </c>
      <c r="B1417" t="s">
        <v>25</v>
      </c>
      <c r="C1417" t="str">
        <f t="shared" si="46"/>
        <v>INTEGRA Saloon</v>
      </c>
      <c r="D1417" t="str">
        <f t="shared" si="45"/>
        <v>1.6 i</v>
      </c>
      <c r="E1417" t="s">
        <v>26</v>
      </c>
      <c r="F1417">
        <v>198501</v>
      </c>
      <c r="G1417">
        <v>199012</v>
      </c>
      <c r="H1417">
        <v>88</v>
      </c>
      <c r="I1417">
        <v>120</v>
      </c>
      <c r="J1417">
        <v>1590</v>
      </c>
      <c r="K1417">
        <v>3298329</v>
      </c>
      <c r="L1417" t="s">
        <v>247</v>
      </c>
      <c r="M1417" t="str">
        <f>"1044008"</f>
        <v>1044008</v>
      </c>
      <c r="N1417" t="str">
        <f>"1044.008"</f>
        <v>1044.008</v>
      </c>
      <c r="O1417" t="str">
        <f>""</f>
        <v/>
      </c>
      <c r="P1417" t="s">
        <v>219</v>
      </c>
      <c r="Q1417" t="str">
        <f>""</f>
        <v/>
      </c>
      <c r="R1417" t="s">
        <v>240</v>
      </c>
      <c r="S1417" t="s">
        <v>221</v>
      </c>
      <c r="T1417" s="1" t="s">
        <v>241</v>
      </c>
      <c r="U1417">
        <v>70</v>
      </c>
      <c r="V1417" t="s">
        <v>219</v>
      </c>
      <c r="W1417" t="s">
        <v>223</v>
      </c>
      <c r="X1417" t="s">
        <v>224</v>
      </c>
    </row>
    <row r="1418" spans="1:24">
      <c r="A1418">
        <v>13531</v>
      </c>
      <c r="B1418" t="s">
        <v>25</v>
      </c>
      <c r="C1418" t="str">
        <f t="shared" si="46"/>
        <v>INTEGRA Saloon</v>
      </c>
      <c r="D1418" t="str">
        <f t="shared" si="45"/>
        <v>1.6 i</v>
      </c>
      <c r="E1418" t="s">
        <v>26</v>
      </c>
      <c r="F1418">
        <v>198501</v>
      </c>
      <c r="G1418">
        <v>199012</v>
      </c>
      <c r="H1418">
        <v>88</v>
      </c>
      <c r="I1418">
        <v>120</v>
      </c>
      <c r="J1418">
        <v>1590</v>
      </c>
      <c r="K1418">
        <v>3366099</v>
      </c>
      <c r="L1418" t="s">
        <v>248</v>
      </c>
      <c r="M1418" t="str">
        <f>"153151"</f>
        <v>153151</v>
      </c>
      <c r="N1418" t="str">
        <f>"153-151"</f>
        <v>153-151</v>
      </c>
      <c r="O1418" t="str">
        <f>""</f>
        <v/>
      </c>
      <c r="P1418" t="s">
        <v>219</v>
      </c>
      <c r="Q1418" t="str">
        <f>""</f>
        <v/>
      </c>
      <c r="R1418" t="s">
        <v>220</v>
      </c>
      <c r="S1418" t="s">
        <v>221</v>
      </c>
      <c r="T1418" s="1" t="s">
        <v>249</v>
      </c>
      <c r="U1418">
        <v>70</v>
      </c>
      <c r="V1418" t="s">
        <v>219</v>
      </c>
      <c r="W1418" t="s">
        <v>223</v>
      </c>
      <c r="X1418" t="s">
        <v>224</v>
      </c>
    </row>
    <row r="1419" spans="1:24">
      <c r="A1419">
        <v>13531</v>
      </c>
      <c r="B1419" t="s">
        <v>25</v>
      </c>
      <c r="C1419" t="str">
        <f t="shared" si="46"/>
        <v>INTEGRA Saloon</v>
      </c>
      <c r="D1419" t="str">
        <f t="shared" si="45"/>
        <v>1.6 i</v>
      </c>
      <c r="E1419" t="s">
        <v>26</v>
      </c>
      <c r="F1419">
        <v>198501</v>
      </c>
      <c r="G1419">
        <v>199012</v>
      </c>
      <c r="H1419">
        <v>88</v>
      </c>
      <c r="I1419">
        <v>120</v>
      </c>
      <c r="J1419">
        <v>1590</v>
      </c>
      <c r="K1419">
        <v>3963748</v>
      </c>
      <c r="L1419" t="s">
        <v>27</v>
      </c>
      <c r="M1419" t="str">
        <f>"H04601"</f>
        <v>H04601</v>
      </c>
      <c r="N1419" t="str">
        <f>"H046-01"</f>
        <v>H046-01</v>
      </c>
      <c r="O1419" t="str">
        <f>""</f>
        <v/>
      </c>
      <c r="P1419" t="s">
        <v>219</v>
      </c>
      <c r="Q1419" t="str">
        <f>"8718993207031"</f>
        <v>8718993207031</v>
      </c>
      <c r="R1419" t="s">
        <v>250</v>
      </c>
      <c r="T1419" s="1" t="s">
        <v>251</v>
      </c>
      <c r="U1419">
        <v>70</v>
      </c>
      <c r="V1419" t="s">
        <v>219</v>
      </c>
      <c r="W1419" t="s">
        <v>223</v>
      </c>
      <c r="X1419" t="s">
        <v>224</v>
      </c>
    </row>
    <row r="1420" spans="1:24">
      <c r="A1420">
        <v>13531</v>
      </c>
      <c r="B1420" t="s">
        <v>25</v>
      </c>
      <c r="C1420" t="str">
        <f t="shared" si="46"/>
        <v>INTEGRA Saloon</v>
      </c>
      <c r="D1420" t="str">
        <f t="shared" si="45"/>
        <v>1.6 i</v>
      </c>
      <c r="E1420" t="s">
        <v>26</v>
      </c>
      <c r="F1420">
        <v>198501</v>
      </c>
      <c r="G1420">
        <v>199012</v>
      </c>
      <c r="H1420">
        <v>88</v>
      </c>
      <c r="I1420">
        <v>120</v>
      </c>
      <c r="J1420">
        <v>1590</v>
      </c>
      <c r="K1420">
        <v>4088391</v>
      </c>
      <c r="L1420" t="s">
        <v>252</v>
      </c>
      <c r="M1420" t="str">
        <f>"S047"</f>
        <v>S047</v>
      </c>
      <c r="N1420" t="str">
        <f>"S047"</f>
        <v>S047</v>
      </c>
      <c r="O1420" t="str">
        <f>""</f>
        <v/>
      </c>
      <c r="P1420" t="s">
        <v>219</v>
      </c>
      <c r="Q1420" t="str">
        <f>"8016431200478"</f>
        <v>8016431200478</v>
      </c>
      <c r="R1420" t="s">
        <v>253</v>
      </c>
      <c r="T1420" s="1" t="s">
        <v>254</v>
      </c>
      <c r="U1420">
        <v>70</v>
      </c>
      <c r="V1420" t="s">
        <v>219</v>
      </c>
      <c r="W1420" t="s">
        <v>223</v>
      </c>
      <c r="X1420" t="s">
        <v>224</v>
      </c>
    </row>
    <row r="1421" spans="1:24">
      <c r="A1421">
        <v>13531</v>
      </c>
      <c r="B1421" t="s">
        <v>25</v>
      </c>
      <c r="C1421" t="str">
        <f t="shared" si="46"/>
        <v>INTEGRA Saloon</v>
      </c>
      <c r="D1421" t="str">
        <f t="shared" si="45"/>
        <v>1.6 i</v>
      </c>
      <c r="E1421" t="s">
        <v>26</v>
      </c>
      <c r="F1421">
        <v>198501</v>
      </c>
      <c r="G1421">
        <v>199012</v>
      </c>
      <c r="H1421">
        <v>88</v>
      </c>
      <c r="I1421">
        <v>120</v>
      </c>
      <c r="J1421">
        <v>1590</v>
      </c>
      <c r="K1421">
        <v>4197931</v>
      </c>
      <c r="L1421" t="s">
        <v>255</v>
      </c>
      <c r="M1421" t="str">
        <f>"C04003ABE"</f>
        <v>C04003ABE</v>
      </c>
      <c r="N1421" t="str">
        <f>"C04003ABE"</f>
        <v>C04003ABE</v>
      </c>
      <c r="O1421" t="str">
        <f>""</f>
        <v/>
      </c>
      <c r="P1421" t="s">
        <v>219</v>
      </c>
      <c r="Q1421" t="str">
        <f>""</f>
        <v/>
      </c>
      <c r="R1421" t="s">
        <v>256</v>
      </c>
      <c r="T1421" s="1" t="s">
        <v>257</v>
      </c>
      <c r="U1421">
        <v>70</v>
      </c>
      <c r="V1421" t="s">
        <v>219</v>
      </c>
      <c r="W1421" t="s">
        <v>223</v>
      </c>
      <c r="X1421" t="s">
        <v>224</v>
      </c>
    </row>
    <row r="1422" spans="1:24">
      <c r="A1422">
        <v>13531</v>
      </c>
      <c r="B1422" t="s">
        <v>25</v>
      </c>
      <c r="C1422" t="str">
        <f t="shared" si="46"/>
        <v>INTEGRA Saloon</v>
      </c>
      <c r="D1422" t="str">
        <f t="shared" si="45"/>
        <v>1.6 i</v>
      </c>
      <c r="E1422" t="s">
        <v>26</v>
      </c>
      <c r="F1422">
        <v>198501</v>
      </c>
      <c r="G1422">
        <v>199012</v>
      </c>
      <c r="H1422">
        <v>88</v>
      </c>
      <c r="I1422">
        <v>120</v>
      </c>
      <c r="J1422">
        <v>1590</v>
      </c>
      <c r="K1422">
        <v>4959296</v>
      </c>
      <c r="L1422" t="s">
        <v>258</v>
      </c>
      <c r="M1422" t="str">
        <f>"GF0702"</f>
        <v>GF0702</v>
      </c>
      <c r="N1422" t="str">
        <f>"GF0702"</f>
        <v>GF0702</v>
      </c>
      <c r="O1422" t="str">
        <f>""</f>
        <v/>
      </c>
      <c r="P1422" t="s">
        <v>219</v>
      </c>
      <c r="Q1422" t="str">
        <f>"805014145335"</f>
        <v>805014145335</v>
      </c>
      <c r="R1422" t="s">
        <v>259</v>
      </c>
      <c r="T1422" s="1" t="s">
        <v>260</v>
      </c>
      <c r="U1422">
        <v>70</v>
      </c>
      <c r="V1422" t="s">
        <v>219</v>
      </c>
      <c r="W1422" t="s">
        <v>223</v>
      </c>
      <c r="X1422" t="s">
        <v>224</v>
      </c>
    </row>
    <row r="1423" spans="1:24">
      <c r="A1423">
        <v>13531</v>
      </c>
      <c r="B1423" t="s">
        <v>25</v>
      </c>
      <c r="C1423" t="str">
        <f t="shared" si="46"/>
        <v>INTEGRA Saloon</v>
      </c>
      <c r="D1423" t="str">
        <f t="shared" si="45"/>
        <v>1.6 i</v>
      </c>
      <c r="E1423" t="s">
        <v>26</v>
      </c>
      <c r="F1423">
        <v>198501</v>
      </c>
      <c r="G1423">
        <v>199012</v>
      </c>
      <c r="H1423">
        <v>88</v>
      </c>
      <c r="I1423">
        <v>120</v>
      </c>
      <c r="J1423">
        <v>1590</v>
      </c>
      <c r="K1423">
        <v>3029294</v>
      </c>
      <c r="L1423" t="s">
        <v>33</v>
      </c>
      <c r="M1423" t="str">
        <f>"J3214000"</f>
        <v>J3214000</v>
      </c>
      <c r="N1423" t="str">
        <f>"J3214000"</f>
        <v>J3214000</v>
      </c>
      <c r="O1423" t="str">
        <f>""</f>
        <v/>
      </c>
      <c r="P1423" t="s">
        <v>261</v>
      </c>
      <c r="Q1423" t="str">
        <f>"8711768087401"</f>
        <v>8711768087401</v>
      </c>
      <c r="R1423" t="s">
        <v>262</v>
      </c>
      <c r="S1423" t="s">
        <v>263</v>
      </c>
      <c r="T1423" s="1" t="s">
        <v>264</v>
      </c>
      <c r="U1423">
        <v>78</v>
      </c>
      <c r="V1423" t="s">
        <v>261</v>
      </c>
      <c r="W1423" t="s">
        <v>261</v>
      </c>
      <c r="X1423" t="s">
        <v>224</v>
      </c>
    </row>
    <row r="1424" spans="1:24">
      <c r="A1424">
        <v>13531</v>
      </c>
      <c r="B1424" t="s">
        <v>25</v>
      </c>
      <c r="C1424" t="str">
        <f t="shared" si="46"/>
        <v>INTEGRA Saloon</v>
      </c>
      <c r="D1424" t="str">
        <f t="shared" si="45"/>
        <v>1.6 i</v>
      </c>
      <c r="E1424" t="s">
        <v>26</v>
      </c>
      <c r="F1424">
        <v>198501</v>
      </c>
      <c r="G1424">
        <v>199012</v>
      </c>
      <c r="H1424">
        <v>88</v>
      </c>
      <c r="I1424">
        <v>120</v>
      </c>
      <c r="J1424">
        <v>1590</v>
      </c>
      <c r="K1424">
        <v>3029548</v>
      </c>
      <c r="L1424" t="s">
        <v>33</v>
      </c>
      <c r="M1424" t="str">
        <f>"J3224000"</f>
        <v>J3224000</v>
      </c>
      <c r="N1424" t="str">
        <f>"J3224000"</f>
        <v>J3224000</v>
      </c>
      <c r="O1424" t="str">
        <f>""</f>
        <v/>
      </c>
      <c r="P1424" t="s">
        <v>261</v>
      </c>
      <c r="Q1424" t="str">
        <f>"8711768087548"</f>
        <v>8711768087548</v>
      </c>
      <c r="R1424" t="s">
        <v>262</v>
      </c>
      <c r="S1424" t="s">
        <v>265</v>
      </c>
      <c r="T1424" s="1" t="s">
        <v>266</v>
      </c>
      <c r="U1424">
        <v>78</v>
      </c>
      <c r="V1424" t="s">
        <v>261</v>
      </c>
      <c r="W1424" t="s">
        <v>261</v>
      </c>
      <c r="X1424" t="s">
        <v>224</v>
      </c>
    </row>
    <row r="1425" spans="1:24">
      <c r="A1425">
        <v>13531</v>
      </c>
      <c r="B1425" t="s">
        <v>25</v>
      </c>
      <c r="C1425" t="str">
        <f t="shared" si="46"/>
        <v>INTEGRA Saloon</v>
      </c>
      <c r="D1425" t="str">
        <f t="shared" si="45"/>
        <v>1.6 i</v>
      </c>
      <c r="E1425" t="s">
        <v>26</v>
      </c>
      <c r="F1425">
        <v>198501</v>
      </c>
      <c r="G1425">
        <v>199012</v>
      </c>
      <c r="H1425">
        <v>88</v>
      </c>
      <c r="I1425">
        <v>120</v>
      </c>
      <c r="J1425">
        <v>1590</v>
      </c>
      <c r="K1425">
        <v>2876</v>
      </c>
      <c r="L1425" t="s">
        <v>236</v>
      </c>
      <c r="M1425" t="str">
        <f>"H1131V"</f>
        <v>H1131V</v>
      </c>
      <c r="N1425" t="str">
        <f>"H1131V"</f>
        <v>H1131V</v>
      </c>
      <c r="O1425" t="str">
        <f>"H1131V"</f>
        <v>H1131V</v>
      </c>
      <c r="P1425" t="s">
        <v>267</v>
      </c>
      <c r="Q1425" t="str">
        <f>"8032532071045"</f>
        <v>8032532071045</v>
      </c>
      <c r="R1425" t="s">
        <v>1308</v>
      </c>
      <c r="S1425" t="s">
        <v>1309</v>
      </c>
      <c r="T1425" s="1" t="s">
        <v>1310</v>
      </c>
      <c r="U1425">
        <v>82</v>
      </c>
      <c r="V1425" t="s">
        <v>267</v>
      </c>
      <c r="W1425" t="s">
        <v>267</v>
      </c>
      <c r="X1425" t="s">
        <v>224</v>
      </c>
    </row>
    <row r="1426" spans="1:24">
      <c r="A1426">
        <v>13531</v>
      </c>
      <c r="B1426" t="s">
        <v>25</v>
      </c>
      <c r="C1426" t="str">
        <f t="shared" si="46"/>
        <v>INTEGRA Saloon</v>
      </c>
      <c r="D1426" t="str">
        <f t="shared" si="45"/>
        <v>1.6 i</v>
      </c>
      <c r="E1426" t="s">
        <v>26</v>
      </c>
      <c r="F1426">
        <v>198501</v>
      </c>
      <c r="G1426">
        <v>199012</v>
      </c>
      <c r="H1426">
        <v>88</v>
      </c>
      <c r="I1426">
        <v>120</v>
      </c>
      <c r="J1426">
        <v>1590</v>
      </c>
      <c r="K1426">
        <v>2877</v>
      </c>
      <c r="L1426" t="s">
        <v>236</v>
      </c>
      <c r="M1426" t="str">
        <f>"H1141V"</f>
        <v>H1141V</v>
      </c>
      <c r="N1426" t="str">
        <f>"H1141V"</f>
        <v>H1141V</v>
      </c>
      <c r="O1426" t="str">
        <f>"H1141V"</f>
        <v>H1141V</v>
      </c>
      <c r="P1426" t="s">
        <v>267</v>
      </c>
      <c r="Q1426" t="str">
        <f>"8032532071052"</f>
        <v>8032532071052</v>
      </c>
      <c r="R1426" t="s">
        <v>268</v>
      </c>
      <c r="S1426" t="s">
        <v>269</v>
      </c>
      <c r="T1426" s="1" t="s">
        <v>270</v>
      </c>
      <c r="U1426">
        <v>82</v>
      </c>
      <c r="V1426" t="s">
        <v>267</v>
      </c>
      <c r="W1426" t="s">
        <v>267</v>
      </c>
      <c r="X1426" t="s">
        <v>224</v>
      </c>
    </row>
    <row r="1427" spans="1:24">
      <c r="A1427">
        <v>13531</v>
      </c>
      <c r="B1427" t="s">
        <v>25</v>
      </c>
      <c r="C1427" t="str">
        <f t="shared" si="46"/>
        <v>INTEGRA Saloon</v>
      </c>
      <c r="D1427" t="str">
        <f t="shared" si="45"/>
        <v>1.6 i</v>
      </c>
      <c r="E1427" t="s">
        <v>26</v>
      </c>
      <c r="F1427">
        <v>198501</v>
      </c>
      <c r="G1427">
        <v>199012</v>
      </c>
      <c r="H1427">
        <v>88</v>
      </c>
      <c r="I1427">
        <v>120</v>
      </c>
      <c r="J1427">
        <v>1590</v>
      </c>
      <c r="K1427">
        <v>112212</v>
      </c>
      <c r="L1427" t="s">
        <v>199</v>
      </c>
      <c r="M1427" t="str">
        <f>"37580"</f>
        <v>37580</v>
      </c>
      <c r="N1427" t="str">
        <f>"37580"</f>
        <v>37580</v>
      </c>
      <c r="O1427" t="str">
        <f>""</f>
        <v/>
      </c>
      <c r="P1427" t="s">
        <v>267</v>
      </c>
      <c r="Q1427" t="str">
        <f>""</f>
        <v/>
      </c>
      <c r="R1427" t="s">
        <v>271</v>
      </c>
      <c r="S1427" t="s">
        <v>272</v>
      </c>
      <c r="T1427" t="s">
        <v>273</v>
      </c>
      <c r="U1427">
        <v>82</v>
      </c>
      <c r="V1427" t="s">
        <v>267</v>
      </c>
      <c r="W1427" t="s">
        <v>267</v>
      </c>
      <c r="X1427" t="s">
        <v>224</v>
      </c>
    </row>
    <row r="1428" spans="1:24">
      <c r="A1428">
        <v>13531</v>
      </c>
      <c r="B1428" t="s">
        <v>25</v>
      </c>
      <c r="C1428" t="str">
        <f t="shared" si="46"/>
        <v>INTEGRA Saloon</v>
      </c>
      <c r="D1428" t="str">
        <f t="shared" si="45"/>
        <v>1.6 i</v>
      </c>
      <c r="E1428" t="s">
        <v>26</v>
      </c>
      <c r="F1428">
        <v>198501</v>
      </c>
      <c r="G1428">
        <v>199012</v>
      </c>
      <c r="H1428">
        <v>88</v>
      </c>
      <c r="I1428">
        <v>120</v>
      </c>
      <c r="J1428">
        <v>1590</v>
      </c>
      <c r="K1428">
        <v>211976</v>
      </c>
      <c r="L1428" t="s">
        <v>274</v>
      </c>
      <c r="M1428" t="str">
        <f>"190817"</f>
        <v>190817</v>
      </c>
      <c r="N1428" t="str">
        <f>"19-0817"</f>
        <v>19-0817</v>
      </c>
      <c r="O1428" t="str">
        <f>""</f>
        <v/>
      </c>
      <c r="P1428" t="s">
        <v>267</v>
      </c>
      <c r="Q1428" t="str">
        <f>""</f>
        <v/>
      </c>
      <c r="R1428" t="s">
        <v>275</v>
      </c>
      <c r="T1428" t="s">
        <v>276</v>
      </c>
      <c r="U1428">
        <v>82</v>
      </c>
      <c r="V1428" t="s">
        <v>267</v>
      </c>
      <c r="W1428" t="s">
        <v>267</v>
      </c>
      <c r="X1428" t="s">
        <v>224</v>
      </c>
    </row>
    <row r="1429" spans="1:24">
      <c r="A1429">
        <v>13531</v>
      </c>
      <c r="B1429" t="s">
        <v>25</v>
      </c>
      <c r="C1429" t="str">
        <f t="shared" si="46"/>
        <v>INTEGRA Saloon</v>
      </c>
      <c r="D1429" t="str">
        <f t="shared" si="45"/>
        <v>1.6 i</v>
      </c>
      <c r="E1429" t="s">
        <v>26</v>
      </c>
      <c r="F1429">
        <v>198501</v>
      </c>
      <c r="G1429">
        <v>199012</v>
      </c>
      <c r="H1429">
        <v>88</v>
      </c>
      <c r="I1429">
        <v>120</v>
      </c>
      <c r="J1429">
        <v>1590</v>
      </c>
      <c r="K1429">
        <v>211977</v>
      </c>
      <c r="L1429" t="s">
        <v>274</v>
      </c>
      <c r="M1429" t="str">
        <f>"190818"</f>
        <v>190818</v>
      </c>
      <c r="N1429" t="str">
        <f>"19-0818"</f>
        <v>19-0818</v>
      </c>
      <c r="O1429" t="str">
        <f>""</f>
        <v/>
      </c>
      <c r="P1429" t="s">
        <v>267</v>
      </c>
      <c r="Q1429" t="str">
        <f>""</f>
        <v/>
      </c>
      <c r="R1429" t="s">
        <v>277</v>
      </c>
      <c r="T1429" t="s">
        <v>278</v>
      </c>
      <c r="U1429">
        <v>82</v>
      </c>
      <c r="V1429" t="s">
        <v>267</v>
      </c>
      <c r="W1429" t="s">
        <v>267</v>
      </c>
      <c r="X1429" t="s">
        <v>224</v>
      </c>
    </row>
    <row r="1430" spans="1:24">
      <c r="A1430">
        <v>13531</v>
      </c>
      <c r="B1430" t="s">
        <v>25</v>
      </c>
      <c r="C1430" t="str">
        <f t="shared" si="46"/>
        <v>INTEGRA Saloon</v>
      </c>
      <c r="D1430" t="str">
        <f t="shared" si="45"/>
        <v>1.6 i</v>
      </c>
      <c r="E1430" t="s">
        <v>26</v>
      </c>
      <c r="F1430">
        <v>198501</v>
      </c>
      <c r="G1430">
        <v>199012</v>
      </c>
      <c r="H1430">
        <v>88</v>
      </c>
      <c r="I1430">
        <v>120</v>
      </c>
      <c r="J1430">
        <v>1590</v>
      </c>
      <c r="K1430">
        <v>211984</v>
      </c>
      <c r="L1430" t="s">
        <v>274</v>
      </c>
      <c r="M1430" t="str">
        <f>"190838"</f>
        <v>190838</v>
      </c>
      <c r="N1430" t="str">
        <f>"19-0838"</f>
        <v>19-0838</v>
      </c>
      <c r="O1430" t="str">
        <f>""</f>
        <v/>
      </c>
      <c r="P1430" t="s">
        <v>267</v>
      </c>
      <c r="Q1430" t="str">
        <f>""</f>
        <v/>
      </c>
      <c r="R1430" t="s">
        <v>279</v>
      </c>
      <c r="T1430" s="1" t="s">
        <v>280</v>
      </c>
      <c r="U1430">
        <v>82</v>
      </c>
      <c r="V1430" t="s">
        <v>267</v>
      </c>
      <c r="W1430" t="s">
        <v>267</v>
      </c>
      <c r="X1430" t="s">
        <v>224</v>
      </c>
    </row>
    <row r="1431" spans="1:24">
      <c r="A1431">
        <v>13531</v>
      </c>
      <c r="B1431" t="s">
        <v>25</v>
      </c>
      <c r="C1431" t="str">
        <f t="shared" si="46"/>
        <v>INTEGRA Saloon</v>
      </c>
      <c r="D1431" t="str">
        <f t="shared" si="45"/>
        <v>1.6 i</v>
      </c>
      <c r="E1431" t="s">
        <v>26</v>
      </c>
      <c r="F1431">
        <v>198501</v>
      </c>
      <c r="G1431">
        <v>199012</v>
      </c>
      <c r="H1431">
        <v>88</v>
      </c>
      <c r="I1431">
        <v>120</v>
      </c>
      <c r="J1431">
        <v>1590</v>
      </c>
      <c r="K1431">
        <v>304779</v>
      </c>
      <c r="L1431" t="s">
        <v>247</v>
      </c>
      <c r="M1431" t="str">
        <f>"BD0104"</f>
        <v>BD0104</v>
      </c>
      <c r="N1431" t="str">
        <f>"BD0104"</f>
        <v>BD0104</v>
      </c>
      <c r="O1431" t="str">
        <f>""</f>
        <v/>
      </c>
      <c r="P1431" t="s">
        <v>267</v>
      </c>
      <c r="Q1431" t="str">
        <f>""</f>
        <v/>
      </c>
      <c r="R1431" t="s">
        <v>281</v>
      </c>
      <c r="S1431" t="s">
        <v>282</v>
      </c>
      <c r="T1431" s="1" t="s">
        <v>283</v>
      </c>
      <c r="U1431">
        <v>82</v>
      </c>
      <c r="V1431" t="s">
        <v>267</v>
      </c>
      <c r="W1431" t="s">
        <v>267</v>
      </c>
      <c r="X1431" t="s">
        <v>224</v>
      </c>
    </row>
    <row r="1432" spans="1:24">
      <c r="A1432">
        <v>13531</v>
      </c>
      <c r="B1432" t="s">
        <v>25</v>
      </c>
      <c r="C1432" t="str">
        <f t="shared" si="46"/>
        <v>INTEGRA Saloon</v>
      </c>
      <c r="D1432" t="str">
        <f t="shared" si="45"/>
        <v>1.6 i</v>
      </c>
      <c r="E1432" t="s">
        <v>26</v>
      </c>
      <c r="F1432">
        <v>198501</v>
      </c>
      <c r="G1432">
        <v>199012</v>
      </c>
      <c r="H1432">
        <v>88</v>
      </c>
      <c r="I1432">
        <v>120</v>
      </c>
      <c r="J1432">
        <v>1590</v>
      </c>
      <c r="K1432">
        <v>332234</v>
      </c>
      <c r="L1432" t="s">
        <v>239</v>
      </c>
      <c r="M1432" t="str">
        <f>"DF104"</f>
        <v>DF104</v>
      </c>
      <c r="N1432" t="str">
        <f>"DF104"</f>
        <v>DF104</v>
      </c>
      <c r="O1432" t="str">
        <f>""</f>
        <v/>
      </c>
      <c r="P1432" t="s">
        <v>267</v>
      </c>
      <c r="Q1432" t="str">
        <f>""</f>
        <v/>
      </c>
      <c r="R1432" t="s">
        <v>281</v>
      </c>
      <c r="S1432" t="s">
        <v>282</v>
      </c>
      <c r="T1432" s="1" t="s">
        <v>283</v>
      </c>
      <c r="U1432">
        <v>82</v>
      </c>
      <c r="V1432" t="s">
        <v>267</v>
      </c>
      <c r="W1432" t="s">
        <v>267</v>
      </c>
      <c r="X1432" t="s">
        <v>224</v>
      </c>
    </row>
    <row r="1433" spans="1:24">
      <c r="A1433">
        <v>13531</v>
      </c>
      <c r="B1433" t="s">
        <v>25</v>
      </c>
      <c r="C1433" t="str">
        <f t="shared" si="46"/>
        <v>INTEGRA Saloon</v>
      </c>
      <c r="D1433" t="str">
        <f t="shared" si="45"/>
        <v>1.6 i</v>
      </c>
      <c r="E1433" t="s">
        <v>26</v>
      </c>
      <c r="F1433">
        <v>198501</v>
      </c>
      <c r="G1433">
        <v>199012</v>
      </c>
      <c r="H1433">
        <v>88</v>
      </c>
      <c r="I1433">
        <v>120</v>
      </c>
      <c r="J1433">
        <v>1590</v>
      </c>
      <c r="K1433">
        <v>483649</v>
      </c>
      <c r="L1433" t="s">
        <v>1311</v>
      </c>
      <c r="M1433" t="str">
        <f>"604406640"</f>
        <v>604406640</v>
      </c>
      <c r="N1433" t="str">
        <f>"604-40-6640"</f>
        <v>604-40-6640</v>
      </c>
      <c r="O1433" t="str">
        <f>""</f>
        <v/>
      </c>
      <c r="P1433" t="s">
        <v>267</v>
      </c>
      <c r="Q1433" t="str">
        <f>"5901159069540"</f>
        <v>5901159069540</v>
      </c>
      <c r="R1433" t="s">
        <v>1312</v>
      </c>
      <c r="T1433" s="1" t="s">
        <v>1313</v>
      </c>
      <c r="U1433">
        <v>82</v>
      </c>
      <c r="V1433" t="s">
        <v>267</v>
      </c>
      <c r="W1433" t="s">
        <v>267</v>
      </c>
      <c r="X1433" t="s">
        <v>224</v>
      </c>
    </row>
    <row r="1434" spans="1:24">
      <c r="A1434">
        <v>13531</v>
      </c>
      <c r="B1434" t="s">
        <v>25</v>
      </c>
      <c r="C1434" t="str">
        <f t="shared" si="46"/>
        <v>INTEGRA Saloon</v>
      </c>
      <c r="D1434" t="str">
        <f t="shared" si="45"/>
        <v>1.6 i</v>
      </c>
      <c r="E1434" t="s">
        <v>26</v>
      </c>
      <c r="F1434">
        <v>198501</v>
      </c>
      <c r="G1434">
        <v>199012</v>
      </c>
      <c r="H1434">
        <v>88</v>
      </c>
      <c r="I1434">
        <v>120</v>
      </c>
      <c r="J1434">
        <v>1590</v>
      </c>
      <c r="K1434">
        <v>557318</v>
      </c>
      <c r="L1434" t="s">
        <v>285</v>
      </c>
      <c r="M1434" t="str">
        <f>"562016S"</f>
        <v>562016S</v>
      </c>
      <c r="N1434" t="str">
        <f>"562016S"</f>
        <v>562016S</v>
      </c>
      <c r="O1434" t="str">
        <f>""</f>
        <v/>
      </c>
      <c r="P1434" t="s">
        <v>267</v>
      </c>
      <c r="Q1434" t="str">
        <f>"3306437250054"</f>
        <v>3306437250054</v>
      </c>
      <c r="R1434" t="s">
        <v>286</v>
      </c>
      <c r="S1434" t="s">
        <v>287</v>
      </c>
      <c r="T1434" s="1" t="s">
        <v>345</v>
      </c>
      <c r="U1434">
        <v>82</v>
      </c>
      <c r="V1434" t="s">
        <v>267</v>
      </c>
      <c r="W1434" t="s">
        <v>267</v>
      </c>
      <c r="X1434" t="s">
        <v>224</v>
      </c>
    </row>
    <row r="1435" spans="1:24">
      <c r="A1435">
        <v>13531</v>
      </c>
      <c r="B1435" t="s">
        <v>25</v>
      </c>
      <c r="C1435" t="str">
        <f t="shared" si="46"/>
        <v>INTEGRA Saloon</v>
      </c>
      <c r="D1435" t="str">
        <f t="shared" si="45"/>
        <v>1.6 i</v>
      </c>
      <c r="E1435" t="s">
        <v>26</v>
      </c>
      <c r="F1435">
        <v>198501</v>
      </c>
      <c r="G1435">
        <v>199012</v>
      </c>
      <c r="H1435">
        <v>88</v>
      </c>
      <c r="I1435">
        <v>120</v>
      </c>
      <c r="J1435">
        <v>1590</v>
      </c>
      <c r="K1435">
        <v>655146</v>
      </c>
      <c r="L1435" t="s">
        <v>149</v>
      </c>
      <c r="M1435" t="str">
        <f>"B130092"</f>
        <v>B130092</v>
      </c>
      <c r="N1435" t="str">
        <f>"B130092"</f>
        <v>B130092</v>
      </c>
      <c r="O1435" t="str">
        <f>""</f>
        <v/>
      </c>
      <c r="P1435" t="s">
        <v>267</v>
      </c>
      <c r="Q1435" t="str">
        <f>"5901225727916"</f>
        <v>5901225727916</v>
      </c>
      <c r="R1435" t="s">
        <v>1314</v>
      </c>
      <c r="T1435" s="1" t="s">
        <v>1315</v>
      </c>
      <c r="U1435">
        <v>82</v>
      </c>
      <c r="V1435" t="s">
        <v>267</v>
      </c>
      <c r="W1435" t="s">
        <v>267</v>
      </c>
      <c r="X1435" t="s">
        <v>224</v>
      </c>
    </row>
    <row r="1436" spans="1:24">
      <c r="A1436">
        <v>13531</v>
      </c>
      <c r="B1436" t="s">
        <v>25</v>
      </c>
      <c r="C1436" t="str">
        <f t="shared" si="46"/>
        <v>INTEGRA Saloon</v>
      </c>
      <c r="D1436" t="str">
        <f t="shared" si="45"/>
        <v>1.6 i</v>
      </c>
      <c r="E1436" t="s">
        <v>26</v>
      </c>
      <c r="F1436">
        <v>198501</v>
      </c>
      <c r="G1436">
        <v>199012</v>
      </c>
      <c r="H1436">
        <v>88</v>
      </c>
      <c r="I1436">
        <v>120</v>
      </c>
      <c r="J1436">
        <v>1590</v>
      </c>
      <c r="K1436">
        <v>655150</v>
      </c>
      <c r="L1436" t="s">
        <v>149</v>
      </c>
      <c r="M1436" t="str">
        <f>"B130096"</f>
        <v>B130096</v>
      </c>
      <c r="N1436" t="str">
        <f>"B130096"</f>
        <v>B130096</v>
      </c>
      <c r="O1436" t="str">
        <f>""</f>
        <v/>
      </c>
      <c r="P1436" t="s">
        <v>267</v>
      </c>
      <c r="Q1436" t="str">
        <f>"5901225727954"</f>
        <v>5901225727954</v>
      </c>
      <c r="R1436" t="s">
        <v>289</v>
      </c>
      <c r="T1436" s="1" t="s">
        <v>1316</v>
      </c>
      <c r="U1436">
        <v>82</v>
      </c>
      <c r="V1436" t="s">
        <v>267</v>
      </c>
      <c r="W1436" t="s">
        <v>267</v>
      </c>
      <c r="X1436" t="s">
        <v>224</v>
      </c>
    </row>
    <row r="1437" spans="1:24">
      <c r="A1437">
        <v>13531</v>
      </c>
      <c r="B1437" t="s">
        <v>25</v>
      </c>
      <c r="C1437" t="str">
        <f t="shared" si="46"/>
        <v>INTEGRA Saloon</v>
      </c>
      <c r="D1437" t="str">
        <f t="shared" si="45"/>
        <v>1.6 i</v>
      </c>
      <c r="E1437" t="s">
        <v>26</v>
      </c>
      <c r="F1437">
        <v>198501</v>
      </c>
      <c r="G1437">
        <v>199012</v>
      </c>
      <c r="H1437">
        <v>88</v>
      </c>
      <c r="I1437">
        <v>120</v>
      </c>
      <c r="J1437">
        <v>1590</v>
      </c>
      <c r="K1437">
        <v>761189</v>
      </c>
      <c r="L1437" t="s">
        <v>51</v>
      </c>
      <c r="M1437" t="str">
        <f>"HPD916"</f>
        <v>HPD916</v>
      </c>
      <c r="N1437" t="str">
        <f>"HPD 916"</f>
        <v>HPD 916</v>
      </c>
      <c r="O1437" t="str">
        <f>"ref. IB: HHO 14 1V"</f>
        <v>ref. IB: HHO 14 1V</v>
      </c>
      <c r="P1437" t="s">
        <v>267</v>
      </c>
      <c r="Q1437" t="str">
        <f>"8029172003789"</f>
        <v>8029172003789</v>
      </c>
      <c r="R1437" t="s">
        <v>291</v>
      </c>
      <c r="S1437" t="s">
        <v>292</v>
      </c>
      <c r="T1437" s="1" t="s">
        <v>293</v>
      </c>
      <c r="U1437">
        <v>82</v>
      </c>
      <c r="V1437" t="s">
        <v>267</v>
      </c>
      <c r="W1437" t="s">
        <v>267</v>
      </c>
      <c r="X1437" t="s">
        <v>224</v>
      </c>
    </row>
    <row r="1438" spans="1:24">
      <c r="A1438">
        <v>13531</v>
      </c>
      <c r="B1438" t="s">
        <v>25</v>
      </c>
      <c r="C1438" t="str">
        <f t="shared" si="46"/>
        <v>INTEGRA Saloon</v>
      </c>
      <c r="D1438" t="str">
        <f t="shared" si="45"/>
        <v>1.6 i</v>
      </c>
      <c r="E1438" t="s">
        <v>26</v>
      </c>
      <c r="F1438">
        <v>198501</v>
      </c>
      <c r="G1438">
        <v>199012</v>
      </c>
      <c r="H1438">
        <v>88</v>
      </c>
      <c r="I1438">
        <v>120</v>
      </c>
      <c r="J1438">
        <v>1590</v>
      </c>
      <c r="K1438">
        <v>843413</v>
      </c>
      <c r="L1438" t="s">
        <v>294</v>
      </c>
      <c r="M1438" t="str">
        <f>"V305"</f>
        <v>V305</v>
      </c>
      <c r="N1438" t="str">
        <f>"V305"</f>
        <v>V305</v>
      </c>
      <c r="O1438" t="str">
        <f>""</f>
        <v/>
      </c>
      <c r="P1438" t="s">
        <v>267</v>
      </c>
      <c r="Q1438" t="str">
        <f>""</f>
        <v/>
      </c>
      <c r="R1438" t="s">
        <v>295</v>
      </c>
      <c r="S1438" t="s">
        <v>296</v>
      </c>
      <c r="T1438" s="1" t="s">
        <v>297</v>
      </c>
      <c r="U1438">
        <v>82</v>
      </c>
      <c r="V1438" t="s">
        <v>267</v>
      </c>
      <c r="W1438" t="s">
        <v>267</v>
      </c>
      <c r="X1438" t="s">
        <v>224</v>
      </c>
    </row>
    <row r="1439" spans="1:24">
      <c r="A1439">
        <v>13531</v>
      </c>
      <c r="B1439" t="s">
        <v>25</v>
      </c>
      <c r="C1439" t="str">
        <f t="shared" si="46"/>
        <v>INTEGRA Saloon</v>
      </c>
      <c r="D1439" t="str">
        <f t="shared" si="45"/>
        <v>1.6 i</v>
      </c>
      <c r="E1439" t="s">
        <v>26</v>
      </c>
      <c r="F1439">
        <v>198501</v>
      </c>
      <c r="G1439">
        <v>199012</v>
      </c>
      <c r="H1439">
        <v>88</v>
      </c>
      <c r="I1439">
        <v>120</v>
      </c>
      <c r="J1439">
        <v>1590</v>
      </c>
      <c r="K1439">
        <v>895085</v>
      </c>
      <c r="L1439" t="s">
        <v>298</v>
      </c>
      <c r="M1439" t="str">
        <f>"370003"</f>
        <v>370003</v>
      </c>
      <c r="N1439" t="str">
        <f>"37-0003"</f>
        <v>37-0003</v>
      </c>
      <c r="O1439" t="str">
        <f>""</f>
        <v/>
      </c>
      <c r="P1439" t="s">
        <v>267</v>
      </c>
      <c r="Q1439" t="str">
        <f>""</f>
        <v/>
      </c>
      <c r="R1439" s="1" t="s">
        <v>299</v>
      </c>
      <c r="S1439" t="s">
        <v>300</v>
      </c>
      <c r="T1439" s="1" t="s">
        <v>301</v>
      </c>
      <c r="U1439">
        <v>82</v>
      </c>
      <c r="V1439" t="s">
        <v>267</v>
      </c>
      <c r="W1439" t="s">
        <v>267</v>
      </c>
      <c r="X1439" t="s">
        <v>224</v>
      </c>
    </row>
    <row r="1440" spans="1:24">
      <c r="A1440">
        <v>13531</v>
      </c>
      <c r="B1440" t="s">
        <v>25</v>
      </c>
      <c r="C1440" t="str">
        <f t="shared" si="46"/>
        <v>INTEGRA Saloon</v>
      </c>
      <c r="D1440" t="str">
        <f t="shared" si="45"/>
        <v>1.6 i</v>
      </c>
      <c r="E1440" t="s">
        <v>26</v>
      </c>
      <c r="F1440">
        <v>198501</v>
      </c>
      <c r="G1440">
        <v>199012</v>
      </c>
      <c r="H1440">
        <v>88</v>
      </c>
      <c r="I1440">
        <v>120</v>
      </c>
      <c r="J1440">
        <v>1590</v>
      </c>
      <c r="K1440">
        <v>938474</v>
      </c>
      <c r="L1440" t="s">
        <v>302</v>
      </c>
      <c r="M1440" t="str">
        <f>"8510080000"</f>
        <v>8510080000</v>
      </c>
      <c r="N1440" t="str">
        <f>"851008.0000"</f>
        <v>851008.0000</v>
      </c>
      <c r="O1440" t="str">
        <f>""</f>
        <v/>
      </c>
      <c r="P1440" t="s">
        <v>267</v>
      </c>
      <c r="Q1440" t="str">
        <f>""</f>
        <v/>
      </c>
      <c r="R1440" s="1" t="s">
        <v>303</v>
      </c>
      <c r="S1440" t="s">
        <v>304</v>
      </c>
      <c r="T1440" t="s">
        <v>305</v>
      </c>
      <c r="U1440">
        <v>82</v>
      </c>
      <c r="V1440" t="s">
        <v>267</v>
      </c>
      <c r="W1440" t="s">
        <v>267</v>
      </c>
      <c r="X1440" t="s">
        <v>224</v>
      </c>
    </row>
    <row r="1441" spans="1:24">
      <c r="A1441">
        <v>13531</v>
      </c>
      <c r="B1441" t="s">
        <v>25</v>
      </c>
      <c r="C1441" t="str">
        <f t="shared" si="46"/>
        <v>INTEGRA Saloon</v>
      </c>
      <c r="D1441" t="str">
        <f t="shared" si="45"/>
        <v>1.6 i</v>
      </c>
      <c r="E1441" t="s">
        <v>26</v>
      </c>
      <c r="F1441">
        <v>198501</v>
      </c>
      <c r="G1441">
        <v>199012</v>
      </c>
      <c r="H1441">
        <v>88</v>
      </c>
      <c r="I1441">
        <v>120</v>
      </c>
      <c r="J1441">
        <v>1590</v>
      </c>
      <c r="K1441">
        <v>938489</v>
      </c>
      <c r="L1441" t="s">
        <v>302</v>
      </c>
      <c r="M1441" t="str">
        <f>"8510540000"</f>
        <v>8510540000</v>
      </c>
      <c r="N1441" t="str">
        <f>"851054.0000"</f>
        <v>851054.0000</v>
      </c>
      <c r="O1441" t="str">
        <f>""</f>
        <v/>
      </c>
      <c r="P1441" t="s">
        <v>267</v>
      </c>
      <c r="Q1441" t="str">
        <f>""</f>
        <v/>
      </c>
      <c r="R1441" s="1" t="s">
        <v>306</v>
      </c>
      <c r="S1441" t="s">
        <v>307</v>
      </c>
      <c r="T1441" t="s">
        <v>308</v>
      </c>
      <c r="U1441">
        <v>82</v>
      </c>
      <c r="V1441" t="s">
        <v>267</v>
      </c>
      <c r="W1441" t="s">
        <v>267</v>
      </c>
      <c r="X1441" t="s">
        <v>224</v>
      </c>
    </row>
    <row r="1442" spans="1:24">
      <c r="A1442">
        <v>13531</v>
      </c>
      <c r="B1442" t="s">
        <v>25</v>
      </c>
      <c r="C1442" t="str">
        <f t="shared" si="46"/>
        <v>INTEGRA Saloon</v>
      </c>
      <c r="D1442" t="str">
        <f t="shared" si="45"/>
        <v>1.6 i</v>
      </c>
      <c r="E1442" t="s">
        <v>26</v>
      </c>
      <c r="F1442">
        <v>198501</v>
      </c>
      <c r="G1442">
        <v>199012</v>
      </c>
      <c r="H1442">
        <v>88</v>
      </c>
      <c r="I1442">
        <v>120</v>
      </c>
      <c r="J1442">
        <v>1590</v>
      </c>
      <c r="K1442">
        <v>955137</v>
      </c>
      <c r="L1442" t="s">
        <v>218</v>
      </c>
      <c r="M1442" t="str">
        <f>"PRD2182"</f>
        <v>PRD2182</v>
      </c>
      <c r="N1442" t="str">
        <f>"PRD2182"</f>
        <v>PRD2182</v>
      </c>
      <c r="O1442" t="str">
        <f>""</f>
        <v/>
      </c>
      <c r="P1442" t="s">
        <v>267</v>
      </c>
      <c r="Q1442" t="str">
        <f>""</f>
        <v/>
      </c>
      <c r="R1442" t="s">
        <v>309</v>
      </c>
      <c r="S1442" t="s">
        <v>310</v>
      </c>
      <c r="T1442" s="1" t="s">
        <v>311</v>
      </c>
      <c r="U1442">
        <v>82</v>
      </c>
      <c r="V1442" t="s">
        <v>267</v>
      </c>
      <c r="W1442" t="s">
        <v>267</v>
      </c>
      <c r="X1442" t="s">
        <v>224</v>
      </c>
    </row>
    <row r="1443" spans="1:24">
      <c r="A1443">
        <v>13531</v>
      </c>
      <c r="B1443" t="s">
        <v>25</v>
      </c>
      <c r="C1443" t="str">
        <f t="shared" si="46"/>
        <v>INTEGRA Saloon</v>
      </c>
      <c r="D1443" t="str">
        <f t="shared" si="45"/>
        <v>1.6 i</v>
      </c>
      <c r="E1443" t="s">
        <v>26</v>
      </c>
      <c r="F1443">
        <v>198501</v>
      </c>
      <c r="G1443">
        <v>199012</v>
      </c>
      <c r="H1443">
        <v>88</v>
      </c>
      <c r="I1443">
        <v>120</v>
      </c>
      <c r="J1443">
        <v>1590</v>
      </c>
      <c r="K1443">
        <v>958079</v>
      </c>
      <c r="L1443" t="s">
        <v>218</v>
      </c>
      <c r="M1443" t="str">
        <f>"PRD5174"</f>
        <v>PRD5174</v>
      </c>
      <c r="N1443" t="str">
        <f>"PRD5174"</f>
        <v>PRD5174</v>
      </c>
      <c r="O1443" t="str">
        <f>""</f>
        <v/>
      </c>
      <c r="P1443" t="s">
        <v>267</v>
      </c>
      <c r="Q1443" t="str">
        <f>""</f>
        <v/>
      </c>
      <c r="R1443" t="s">
        <v>312</v>
      </c>
      <c r="S1443" t="s">
        <v>221</v>
      </c>
      <c r="T1443" t="s">
        <v>313</v>
      </c>
      <c r="U1443">
        <v>82</v>
      </c>
      <c r="V1443" t="s">
        <v>267</v>
      </c>
      <c r="W1443" t="s">
        <v>267</v>
      </c>
      <c r="X1443" t="s">
        <v>224</v>
      </c>
    </row>
    <row r="1444" spans="1:24">
      <c r="A1444">
        <v>13531</v>
      </c>
      <c r="B1444" t="s">
        <v>25</v>
      </c>
      <c r="C1444" t="str">
        <f t="shared" si="46"/>
        <v>INTEGRA Saloon</v>
      </c>
      <c r="D1444" t="str">
        <f t="shared" si="45"/>
        <v>1.6 i</v>
      </c>
      <c r="E1444" t="s">
        <v>26</v>
      </c>
      <c r="F1444">
        <v>198501</v>
      </c>
      <c r="G1444">
        <v>199012</v>
      </c>
      <c r="H1444">
        <v>88</v>
      </c>
      <c r="I1444">
        <v>120</v>
      </c>
      <c r="J1444">
        <v>1590</v>
      </c>
      <c r="K1444">
        <v>995288</v>
      </c>
      <c r="L1444" t="s">
        <v>314</v>
      </c>
      <c r="M1444" t="str">
        <f>"98291"</f>
        <v>98291</v>
      </c>
      <c r="N1444" t="str">
        <f>"98291"</f>
        <v>98291</v>
      </c>
      <c r="O1444" t="str">
        <f>""</f>
        <v/>
      </c>
      <c r="P1444" t="s">
        <v>267</v>
      </c>
      <c r="Q1444" t="str">
        <f>""</f>
        <v/>
      </c>
      <c r="R1444" t="s">
        <v>315</v>
      </c>
      <c r="S1444" t="s">
        <v>316</v>
      </c>
      <c r="T1444" s="1" t="s">
        <v>317</v>
      </c>
      <c r="U1444">
        <v>82</v>
      </c>
      <c r="V1444" t="s">
        <v>267</v>
      </c>
      <c r="W1444" t="s">
        <v>267</v>
      </c>
      <c r="X1444" t="s">
        <v>224</v>
      </c>
    </row>
    <row r="1445" spans="1:24">
      <c r="A1445">
        <v>13531</v>
      </c>
      <c r="B1445" t="s">
        <v>25</v>
      </c>
      <c r="C1445" t="str">
        <f t="shared" si="46"/>
        <v>INTEGRA Saloon</v>
      </c>
      <c r="D1445" t="str">
        <f t="shared" si="45"/>
        <v>1.6 i</v>
      </c>
      <c r="E1445" t="s">
        <v>26</v>
      </c>
      <c r="F1445">
        <v>198501</v>
      </c>
      <c r="G1445">
        <v>199012</v>
      </c>
      <c r="H1445">
        <v>88</v>
      </c>
      <c r="I1445">
        <v>120</v>
      </c>
      <c r="J1445">
        <v>1590</v>
      </c>
      <c r="K1445">
        <v>1100310</v>
      </c>
      <c r="L1445" t="s">
        <v>318</v>
      </c>
      <c r="M1445" t="str">
        <f>"24011701011"</f>
        <v>24011701011</v>
      </c>
      <c r="N1445" t="str">
        <f>"24.0117-0101.1"</f>
        <v>24.0117-0101.1</v>
      </c>
      <c r="O1445" t="str">
        <f>"417101"</f>
        <v>417101</v>
      </c>
      <c r="P1445" t="s">
        <v>267</v>
      </c>
      <c r="Q1445" t="str">
        <f>"4006633106054"</f>
        <v>4006633106054</v>
      </c>
      <c r="R1445" s="1" t="s">
        <v>1317</v>
      </c>
      <c r="S1445" t="s">
        <v>1318</v>
      </c>
      <c r="T1445" s="1" t="s">
        <v>1319</v>
      </c>
      <c r="U1445">
        <v>82</v>
      </c>
      <c r="V1445" t="s">
        <v>267</v>
      </c>
      <c r="W1445" t="s">
        <v>267</v>
      </c>
      <c r="X1445" t="s">
        <v>224</v>
      </c>
    </row>
    <row r="1446" spans="1:24">
      <c r="A1446">
        <v>13531</v>
      </c>
      <c r="B1446" t="s">
        <v>25</v>
      </c>
      <c r="C1446" t="str">
        <f t="shared" si="46"/>
        <v>INTEGRA Saloon</v>
      </c>
      <c r="D1446" t="str">
        <f t="shared" si="45"/>
        <v>1.6 i</v>
      </c>
      <c r="E1446" t="s">
        <v>26</v>
      </c>
      <c r="F1446">
        <v>198501</v>
      </c>
      <c r="G1446">
        <v>199012</v>
      </c>
      <c r="H1446">
        <v>88</v>
      </c>
      <c r="I1446">
        <v>120</v>
      </c>
      <c r="J1446">
        <v>1590</v>
      </c>
      <c r="K1446">
        <v>1100365</v>
      </c>
      <c r="L1446" t="s">
        <v>318</v>
      </c>
      <c r="M1446" t="str">
        <f>"24011901061"</f>
        <v>24011901061</v>
      </c>
      <c r="N1446" t="str">
        <f>"24.0119-0106.1"</f>
        <v>24.0119-0106.1</v>
      </c>
      <c r="O1446" t="str">
        <f>"419106"</f>
        <v>419106</v>
      </c>
      <c r="P1446" t="s">
        <v>267</v>
      </c>
      <c r="Q1446" t="str">
        <f>"4006633116114"</f>
        <v>4006633116114</v>
      </c>
      <c r="R1446" s="1" t="s">
        <v>319</v>
      </c>
      <c r="S1446" t="s">
        <v>320</v>
      </c>
      <c r="T1446" s="1" t="s">
        <v>321</v>
      </c>
      <c r="U1446">
        <v>82</v>
      </c>
      <c r="V1446" t="s">
        <v>267</v>
      </c>
      <c r="W1446" t="s">
        <v>267</v>
      </c>
      <c r="X1446" t="s">
        <v>224</v>
      </c>
    </row>
    <row r="1447" spans="1:24">
      <c r="A1447">
        <v>13531</v>
      </c>
      <c r="B1447" t="s">
        <v>25</v>
      </c>
      <c r="C1447" t="str">
        <f t="shared" si="46"/>
        <v>INTEGRA Saloon</v>
      </c>
      <c r="D1447" t="str">
        <f t="shared" si="45"/>
        <v>1.6 i</v>
      </c>
      <c r="E1447" t="s">
        <v>26</v>
      </c>
      <c r="F1447">
        <v>198501</v>
      </c>
      <c r="G1447">
        <v>199012</v>
      </c>
      <c r="H1447">
        <v>88</v>
      </c>
      <c r="I1447">
        <v>120</v>
      </c>
      <c r="J1447">
        <v>1590</v>
      </c>
      <c r="K1447">
        <v>1251530</v>
      </c>
      <c r="L1447" t="s">
        <v>66</v>
      </c>
      <c r="M1447" t="str">
        <f>"186435"</f>
        <v>186435</v>
      </c>
      <c r="N1447" t="str">
        <f>"186435"</f>
        <v>186435</v>
      </c>
      <c r="O1447" t="str">
        <f>""</f>
        <v/>
      </c>
      <c r="P1447" t="s">
        <v>267</v>
      </c>
      <c r="Q1447" t="str">
        <f>"3276421972258"</f>
        <v>3276421972258</v>
      </c>
      <c r="R1447" s="1" t="s">
        <v>322</v>
      </c>
      <c r="T1447" s="1" t="s">
        <v>323</v>
      </c>
      <c r="U1447">
        <v>82</v>
      </c>
      <c r="V1447" t="s">
        <v>267</v>
      </c>
      <c r="W1447" t="s">
        <v>267</v>
      </c>
      <c r="X1447" t="s">
        <v>224</v>
      </c>
    </row>
    <row r="1448" spans="1:24">
      <c r="A1448">
        <v>13531</v>
      </c>
      <c r="B1448" t="s">
        <v>25</v>
      </c>
      <c r="C1448" t="str">
        <f t="shared" si="46"/>
        <v>INTEGRA Saloon</v>
      </c>
      <c r="D1448" t="str">
        <f t="shared" si="45"/>
        <v>1.6 i</v>
      </c>
      <c r="E1448" t="s">
        <v>26</v>
      </c>
      <c r="F1448">
        <v>198501</v>
      </c>
      <c r="G1448">
        <v>199012</v>
      </c>
      <c r="H1448">
        <v>88</v>
      </c>
      <c r="I1448">
        <v>120</v>
      </c>
      <c r="J1448">
        <v>1590</v>
      </c>
      <c r="K1448">
        <v>1678135</v>
      </c>
      <c r="L1448" t="s">
        <v>225</v>
      </c>
      <c r="M1448" t="str">
        <f>"561384J"</f>
        <v>561384J</v>
      </c>
      <c r="N1448" t="str">
        <f>"561384J"</f>
        <v>561384J</v>
      </c>
      <c r="O1448" t="str">
        <f>"561384"</f>
        <v>561384</v>
      </c>
      <c r="P1448" t="s">
        <v>267</v>
      </c>
      <c r="Q1448" t="str">
        <f>"3306435027733"</f>
        <v>3306435027733</v>
      </c>
      <c r="R1448" t="s">
        <v>324</v>
      </c>
      <c r="T1448" s="1" t="s">
        <v>325</v>
      </c>
      <c r="U1448">
        <v>82</v>
      </c>
      <c r="V1448" t="s">
        <v>267</v>
      </c>
      <c r="W1448" t="s">
        <v>267</v>
      </c>
      <c r="X1448" t="s">
        <v>224</v>
      </c>
    </row>
    <row r="1449" spans="1:24">
      <c r="A1449">
        <v>13531</v>
      </c>
      <c r="B1449" t="s">
        <v>25</v>
      </c>
      <c r="C1449" t="str">
        <f t="shared" si="46"/>
        <v>INTEGRA Saloon</v>
      </c>
      <c r="D1449" t="str">
        <f t="shared" si="45"/>
        <v>1.6 i</v>
      </c>
      <c r="E1449" t="s">
        <v>26</v>
      </c>
      <c r="F1449">
        <v>198501</v>
      </c>
      <c r="G1449">
        <v>199012</v>
      </c>
      <c r="H1449">
        <v>88</v>
      </c>
      <c r="I1449">
        <v>120</v>
      </c>
      <c r="J1449">
        <v>1590</v>
      </c>
      <c r="K1449">
        <v>1678136</v>
      </c>
      <c r="L1449" t="s">
        <v>225</v>
      </c>
      <c r="M1449" t="str">
        <f>"561384JC"</f>
        <v>561384JC</v>
      </c>
      <c r="N1449" t="str">
        <f>"561384JC"</f>
        <v>561384JC</v>
      </c>
      <c r="O1449" t="str">
        <f>"561384J"</f>
        <v>561384J</v>
      </c>
      <c r="P1449" t="s">
        <v>267</v>
      </c>
      <c r="Q1449" t="str">
        <f>"3306437207898"</f>
        <v>3306437207898</v>
      </c>
      <c r="R1449" t="s">
        <v>326</v>
      </c>
      <c r="T1449" t="s">
        <v>327</v>
      </c>
      <c r="U1449">
        <v>82</v>
      </c>
      <c r="V1449" t="s">
        <v>267</v>
      </c>
      <c r="W1449" t="s">
        <v>267</v>
      </c>
      <c r="X1449" t="s">
        <v>224</v>
      </c>
    </row>
    <row r="1450" spans="1:24">
      <c r="A1450">
        <v>13531</v>
      </c>
      <c r="B1450" t="s">
        <v>25</v>
      </c>
      <c r="C1450" t="str">
        <f t="shared" si="46"/>
        <v>INTEGRA Saloon</v>
      </c>
      <c r="D1450" t="str">
        <f t="shared" si="45"/>
        <v>1.6 i</v>
      </c>
      <c r="E1450" t="s">
        <v>26</v>
      </c>
      <c r="F1450">
        <v>198501</v>
      </c>
      <c r="G1450">
        <v>199012</v>
      </c>
      <c r="H1450">
        <v>88</v>
      </c>
      <c r="I1450">
        <v>120</v>
      </c>
      <c r="J1450">
        <v>1590</v>
      </c>
      <c r="K1450">
        <v>1678649</v>
      </c>
      <c r="L1450" t="s">
        <v>225</v>
      </c>
      <c r="M1450" t="str">
        <f>"562016J"</f>
        <v>562016J</v>
      </c>
      <c r="N1450" t="str">
        <f>"562016J"</f>
        <v>562016J</v>
      </c>
      <c r="O1450" t="str">
        <f>"562016"</f>
        <v>562016</v>
      </c>
      <c r="P1450" t="s">
        <v>267</v>
      </c>
      <c r="Q1450" t="str">
        <f>"3306437007948"</f>
        <v>3306437007948</v>
      </c>
      <c r="R1450" t="s">
        <v>328</v>
      </c>
      <c r="S1450" t="s">
        <v>287</v>
      </c>
      <c r="T1450" s="1" t="s">
        <v>329</v>
      </c>
      <c r="U1450">
        <v>82</v>
      </c>
      <c r="V1450" t="s">
        <v>267</v>
      </c>
      <c r="W1450" t="s">
        <v>267</v>
      </c>
      <c r="X1450" t="s">
        <v>224</v>
      </c>
    </row>
    <row r="1451" spans="1:24">
      <c r="A1451">
        <v>13531</v>
      </c>
      <c r="B1451" t="s">
        <v>25</v>
      </c>
      <c r="C1451" t="str">
        <f t="shared" si="46"/>
        <v>INTEGRA Saloon</v>
      </c>
      <c r="D1451" t="str">
        <f t="shared" si="45"/>
        <v>1.6 i</v>
      </c>
      <c r="E1451" t="s">
        <v>26</v>
      </c>
      <c r="F1451">
        <v>198501</v>
      </c>
      <c r="G1451">
        <v>199012</v>
      </c>
      <c r="H1451">
        <v>88</v>
      </c>
      <c r="I1451">
        <v>120</v>
      </c>
      <c r="J1451">
        <v>1590</v>
      </c>
      <c r="K1451">
        <v>1678650</v>
      </c>
      <c r="L1451" t="s">
        <v>225</v>
      </c>
      <c r="M1451" t="str">
        <f>"562016JC"</f>
        <v>562016JC</v>
      </c>
      <c r="N1451" t="str">
        <f>"562016JC"</f>
        <v>562016JC</v>
      </c>
      <c r="O1451" t="str">
        <f>"562016J"</f>
        <v>562016J</v>
      </c>
      <c r="P1451" t="s">
        <v>267</v>
      </c>
      <c r="Q1451" t="str">
        <f>"3306437210294"</f>
        <v>3306437210294</v>
      </c>
      <c r="R1451" t="s">
        <v>330</v>
      </c>
      <c r="S1451" t="s">
        <v>287</v>
      </c>
      <c r="T1451" t="s">
        <v>331</v>
      </c>
      <c r="U1451">
        <v>82</v>
      </c>
      <c r="V1451" t="s">
        <v>267</v>
      </c>
      <c r="W1451" t="s">
        <v>267</v>
      </c>
      <c r="X1451" t="s">
        <v>224</v>
      </c>
    </row>
    <row r="1452" spans="1:24">
      <c r="A1452">
        <v>13531</v>
      </c>
      <c r="B1452" t="s">
        <v>25</v>
      </c>
      <c r="C1452" t="str">
        <f t="shared" si="46"/>
        <v>INTEGRA Saloon</v>
      </c>
      <c r="D1452" t="str">
        <f t="shared" si="45"/>
        <v>1.6 i</v>
      </c>
      <c r="E1452" t="s">
        <v>26</v>
      </c>
      <c r="F1452">
        <v>198501</v>
      </c>
      <c r="G1452">
        <v>199012</v>
      </c>
      <c r="H1452">
        <v>88</v>
      </c>
      <c r="I1452">
        <v>120</v>
      </c>
      <c r="J1452">
        <v>1590</v>
      </c>
      <c r="K1452">
        <v>1692572</v>
      </c>
      <c r="L1452" t="s">
        <v>332</v>
      </c>
      <c r="M1452" t="str">
        <f>"561383B"</f>
        <v>561383B</v>
      </c>
      <c r="N1452" t="str">
        <f>"561383B"</f>
        <v>561383B</v>
      </c>
      <c r="O1452" t="str">
        <f>"561383"</f>
        <v>561383</v>
      </c>
      <c r="P1452" t="s">
        <v>267</v>
      </c>
      <c r="Q1452" t="str">
        <f>"3306434042843"</f>
        <v>3306434042843</v>
      </c>
      <c r="R1452" t="s">
        <v>333</v>
      </c>
      <c r="S1452" t="s">
        <v>1644</v>
      </c>
      <c r="T1452" s="1" t="s">
        <v>335</v>
      </c>
      <c r="U1452">
        <v>82</v>
      </c>
      <c r="V1452" t="s">
        <v>267</v>
      </c>
      <c r="W1452" t="s">
        <v>267</v>
      </c>
      <c r="X1452" t="s">
        <v>224</v>
      </c>
    </row>
    <row r="1453" spans="1:24">
      <c r="A1453">
        <v>13531</v>
      </c>
      <c r="B1453" t="s">
        <v>25</v>
      </c>
      <c r="C1453" t="str">
        <f t="shared" si="46"/>
        <v>INTEGRA Saloon</v>
      </c>
      <c r="D1453" t="str">
        <f t="shared" si="45"/>
        <v>1.6 i</v>
      </c>
      <c r="E1453" t="s">
        <v>26</v>
      </c>
      <c r="F1453">
        <v>198501</v>
      </c>
      <c r="G1453">
        <v>199012</v>
      </c>
      <c r="H1453">
        <v>88</v>
      </c>
      <c r="I1453">
        <v>120</v>
      </c>
      <c r="J1453">
        <v>1590</v>
      </c>
      <c r="K1453">
        <v>1692573</v>
      </c>
      <c r="L1453" t="s">
        <v>332</v>
      </c>
      <c r="M1453" t="str">
        <f>"561383BC"</f>
        <v>561383BC</v>
      </c>
      <c r="N1453" t="str">
        <f>"561383BC"</f>
        <v>561383BC</v>
      </c>
      <c r="O1453" t="str">
        <f>"561383B"</f>
        <v>561383B</v>
      </c>
      <c r="P1453" t="s">
        <v>267</v>
      </c>
      <c r="Q1453" t="str">
        <f>"3306437207867"</f>
        <v>3306437207867</v>
      </c>
      <c r="R1453" t="s">
        <v>336</v>
      </c>
      <c r="S1453" t="s">
        <v>1644</v>
      </c>
      <c r="T1453" s="1" t="s">
        <v>335</v>
      </c>
      <c r="U1453">
        <v>82</v>
      </c>
      <c r="V1453" t="s">
        <v>267</v>
      </c>
      <c r="W1453" t="s">
        <v>267</v>
      </c>
      <c r="X1453" t="s">
        <v>224</v>
      </c>
    </row>
    <row r="1454" spans="1:24">
      <c r="A1454">
        <v>13531</v>
      </c>
      <c r="B1454" t="s">
        <v>25</v>
      </c>
      <c r="C1454" t="str">
        <f t="shared" si="46"/>
        <v>INTEGRA Saloon</v>
      </c>
      <c r="D1454" t="str">
        <f t="shared" si="45"/>
        <v>1.6 i</v>
      </c>
      <c r="E1454" t="s">
        <v>26</v>
      </c>
      <c r="F1454">
        <v>198501</v>
      </c>
      <c r="G1454">
        <v>199012</v>
      </c>
      <c r="H1454">
        <v>88</v>
      </c>
      <c r="I1454">
        <v>120</v>
      </c>
      <c r="J1454">
        <v>1590</v>
      </c>
      <c r="K1454">
        <v>1692574</v>
      </c>
      <c r="L1454" t="s">
        <v>332</v>
      </c>
      <c r="M1454" t="str">
        <f>"561384B"</f>
        <v>561384B</v>
      </c>
      <c r="N1454" t="str">
        <f>"561384B"</f>
        <v>561384B</v>
      </c>
      <c r="O1454" t="str">
        <f>"561384"</f>
        <v>561384</v>
      </c>
      <c r="P1454" t="s">
        <v>267</v>
      </c>
      <c r="Q1454" t="str">
        <f>"3306434042850"</f>
        <v>3306434042850</v>
      </c>
      <c r="R1454" t="s">
        <v>337</v>
      </c>
      <c r="S1454" t="s">
        <v>310</v>
      </c>
      <c r="T1454" s="1" t="s">
        <v>339</v>
      </c>
      <c r="U1454">
        <v>82</v>
      </c>
      <c r="V1454" t="s">
        <v>267</v>
      </c>
      <c r="W1454" t="s">
        <v>267</v>
      </c>
      <c r="X1454" t="s">
        <v>224</v>
      </c>
    </row>
    <row r="1455" spans="1:24">
      <c r="A1455">
        <v>13531</v>
      </c>
      <c r="B1455" t="s">
        <v>25</v>
      </c>
      <c r="C1455" t="str">
        <f t="shared" si="46"/>
        <v>INTEGRA Saloon</v>
      </c>
      <c r="D1455" t="str">
        <f t="shared" si="45"/>
        <v>1.6 i</v>
      </c>
      <c r="E1455" t="s">
        <v>26</v>
      </c>
      <c r="F1455">
        <v>198501</v>
      </c>
      <c r="G1455">
        <v>199012</v>
      </c>
      <c r="H1455">
        <v>88</v>
      </c>
      <c r="I1455">
        <v>120</v>
      </c>
      <c r="J1455">
        <v>1590</v>
      </c>
      <c r="K1455">
        <v>1692575</v>
      </c>
      <c r="L1455" t="s">
        <v>332</v>
      </c>
      <c r="M1455" t="str">
        <f>"561384BC"</f>
        <v>561384BC</v>
      </c>
      <c r="N1455" t="str">
        <f>"561384BC"</f>
        <v>561384BC</v>
      </c>
      <c r="O1455" t="str">
        <f>"561384B"</f>
        <v>561384B</v>
      </c>
      <c r="P1455" t="s">
        <v>267</v>
      </c>
      <c r="Q1455" t="str">
        <f>"3306437207881"</f>
        <v>3306437207881</v>
      </c>
      <c r="R1455" t="s">
        <v>340</v>
      </c>
      <c r="S1455" t="s">
        <v>310</v>
      </c>
      <c r="T1455" s="1" t="s">
        <v>339</v>
      </c>
      <c r="U1455">
        <v>82</v>
      </c>
      <c r="V1455" t="s">
        <v>267</v>
      </c>
      <c r="W1455" t="s">
        <v>267</v>
      </c>
      <c r="X1455" t="s">
        <v>224</v>
      </c>
    </row>
    <row r="1456" spans="1:24">
      <c r="A1456">
        <v>13531</v>
      </c>
      <c r="B1456" t="s">
        <v>25</v>
      </c>
      <c r="C1456" t="str">
        <f t="shared" si="46"/>
        <v>INTEGRA Saloon</v>
      </c>
      <c r="D1456" t="str">
        <f t="shared" si="45"/>
        <v>1.6 i</v>
      </c>
      <c r="E1456" t="s">
        <v>26</v>
      </c>
      <c r="F1456">
        <v>198501</v>
      </c>
      <c r="G1456">
        <v>199012</v>
      </c>
      <c r="H1456">
        <v>88</v>
      </c>
      <c r="I1456">
        <v>120</v>
      </c>
      <c r="J1456">
        <v>1590</v>
      </c>
      <c r="K1456">
        <v>1693095</v>
      </c>
      <c r="L1456" t="s">
        <v>332</v>
      </c>
      <c r="M1456" t="str">
        <f>"562016B"</f>
        <v>562016B</v>
      </c>
      <c r="N1456" t="str">
        <f>"562016B"</f>
        <v>562016B</v>
      </c>
      <c r="O1456" t="str">
        <f>"562016"</f>
        <v>562016</v>
      </c>
      <c r="P1456" t="s">
        <v>267</v>
      </c>
      <c r="Q1456" t="str">
        <f>"3306430454633"</f>
        <v>3306430454633</v>
      </c>
      <c r="R1456" t="s">
        <v>341</v>
      </c>
      <c r="S1456" t="s">
        <v>342</v>
      </c>
      <c r="T1456" s="1" t="s">
        <v>343</v>
      </c>
      <c r="U1456">
        <v>82</v>
      </c>
      <c r="V1456" t="s">
        <v>267</v>
      </c>
      <c r="W1456" t="s">
        <v>267</v>
      </c>
      <c r="X1456" t="s">
        <v>224</v>
      </c>
    </row>
    <row r="1457" spans="1:24">
      <c r="A1457">
        <v>13531</v>
      </c>
      <c r="B1457" t="s">
        <v>25</v>
      </c>
      <c r="C1457" t="str">
        <f t="shared" si="46"/>
        <v>INTEGRA Saloon</v>
      </c>
      <c r="D1457" t="str">
        <f t="shared" si="45"/>
        <v>1.6 i</v>
      </c>
      <c r="E1457" t="s">
        <v>26</v>
      </c>
      <c r="F1457">
        <v>198501</v>
      </c>
      <c r="G1457">
        <v>199012</v>
      </c>
      <c r="H1457">
        <v>88</v>
      </c>
      <c r="I1457">
        <v>120</v>
      </c>
      <c r="J1457">
        <v>1590</v>
      </c>
      <c r="K1457">
        <v>1693096</v>
      </c>
      <c r="L1457" t="s">
        <v>332</v>
      </c>
      <c r="M1457" t="str">
        <f>"562016BC"</f>
        <v>562016BC</v>
      </c>
      <c r="N1457" t="str">
        <f>"562016BC"</f>
        <v>562016BC</v>
      </c>
      <c r="O1457" t="str">
        <f>"562016B"</f>
        <v>562016B</v>
      </c>
      <c r="P1457" t="s">
        <v>267</v>
      </c>
      <c r="Q1457" t="str">
        <f>"3306437210287"</f>
        <v>3306437210287</v>
      </c>
      <c r="R1457" t="s">
        <v>344</v>
      </c>
      <c r="S1457" t="s">
        <v>342</v>
      </c>
      <c r="T1457" s="1" t="s">
        <v>343</v>
      </c>
      <c r="U1457">
        <v>82</v>
      </c>
      <c r="V1457" t="s">
        <v>267</v>
      </c>
      <c r="W1457" t="s">
        <v>267</v>
      </c>
      <c r="X1457" t="s">
        <v>224</v>
      </c>
    </row>
    <row r="1458" spans="1:24">
      <c r="A1458">
        <v>13531</v>
      </c>
      <c r="B1458" t="s">
        <v>25</v>
      </c>
      <c r="C1458" t="str">
        <f t="shared" si="46"/>
        <v>INTEGRA Saloon</v>
      </c>
      <c r="D1458" t="str">
        <f t="shared" si="45"/>
        <v>1.6 i</v>
      </c>
      <c r="E1458" t="s">
        <v>26</v>
      </c>
      <c r="F1458">
        <v>198501</v>
      </c>
      <c r="G1458">
        <v>199012</v>
      </c>
      <c r="H1458">
        <v>88</v>
      </c>
      <c r="I1458">
        <v>120</v>
      </c>
      <c r="J1458">
        <v>1590</v>
      </c>
      <c r="K1458">
        <v>1811532</v>
      </c>
      <c r="L1458" t="s">
        <v>228</v>
      </c>
      <c r="M1458" t="str">
        <f>"DDF1358"</f>
        <v>DDF1358</v>
      </c>
      <c r="N1458" t="str">
        <f>"DDF1358"</f>
        <v>DDF1358</v>
      </c>
      <c r="O1458" t="str">
        <f>""</f>
        <v/>
      </c>
      <c r="P1458" t="s">
        <v>267</v>
      </c>
      <c r="Q1458" t="str">
        <f>"4044197335213"</f>
        <v>4044197335213</v>
      </c>
      <c r="R1458" t="s">
        <v>286</v>
      </c>
      <c r="S1458" t="s">
        <v>287</v>
      </c>
      <c r="T1458" s="1" t="s">
        <v>345</v>
      </c>
      <c r="U1458">
        <v>82</v>
      </c>
      <c r="V1458" t="s">
        <v>267</v>
      </c>
      <c r="W1458" t="s">
        <v>267</v>
      </c>
      <c r="X1458" t="s">
        <v>224</v>
      </c>
    </row>
    <row r="1459" spans="1:24">
      <c r="A1459">
        <v>13531</v>
      </c>
      <c r="B1459" t="s">
        <v>25</v>
      </c>
      <c r="C1459" t="str">
        <f t="shared" si="46"/>
        <v>INTEGRA Saloon</v>
      </c>
      <c r="D1459" t="str">
        <f t="shared" si="45"/>
        <v>1.6 i</v>
      </c>
      <c r="E1459" t="s">
        <v>26</v>
      </c>
      <c r="F1459">
        <v>198501</v>
      </c>
      <c r="G1459">
        <v>199012</v>
      </c>
      <c r="H1459">
        <v>88</v>
      </c>
      <c r="I1459">
        <v>120</v>
      </c>
      <c r="J1459">
        <v>1590</v>
      </c>
      <c r="K1459">
        <v>1811533</v>
      </c>
      <c r="L1459" t="s">
        <v>228</v>
      </c>
      <c r="M1459" t="str">
        <f>"DDF13581"</f>
        <v>DDF13581</v>
      </c>
      <c r="N1459" t="str">
        <f>"DDF1358-1"</f>
        <v>DDF1358-1</v>
      </c>
      <c r="O1459" t="str">
        <f>"DDF1358"</f>
        <v>DDF1358</v>
      </c>
      <c r="P1459" t="s">
        <v>267</v>
      </c>
      <c r="Q1459" t="str">
        <f>"4044197585960"</f>
        <v>4044197585960</v>
      </c>
      <c r="R1459" t="s">
        <v>346</v>
      </c>
      <c r="S1459" t="s">
        <v>287</v>
      </c>
      <c r="T1459" s="1" t="s">
        <v>347</v>
      </c>
      <c r="U1459">
        <v>82</v>
      </c>
      <c r="V1459" t="s">
        <v>267</v>
      </c>
      <c r="W1459" t="s">
        <v>267</v>
      </c>
      <c r="X1459" t="s">
        <v>224</v>
      </c>
    </row>
    <row r="1460" spans="1:24">
      <c r="A1460">
        <v>13531</v>
      </c>
      <c r="B1460" t="s">
        <v>25</v>
      </c>
      <c r="C1460" t="str">
        <f t="shared" si="46"/>
        <v>INTEGRA Saloon</v>
      </c>
      <c r="D1460" t="str">
        <f t="shared" si="45"/>
        <v>1.6 i</v>
      </c>
      <c r="E1460" t="s">
        <v>26</v>
      </c>
      <c r="F1460">
        <v>198501</v>
      </c>
      <c r="G1460">
        <v>199012</v>
      </c>
      <c r="H1460">
        <v>88</v>
      </c>
      <c r="I1460">
        <v>120</v>
      </c>
      <c r="J1460">
        <v>1590</v>
      </c>
      <c r="K1460">
        <v>1813171</v>
      </c>
      <c r="L1460" t="s">
        <v>228</v>
      </c>
      <c r="M1460" t="str">
        <f>"DDF377"</f>
        <v>DDF377</v>
      </c>
      <c r="N1460" t="str">
        <f>"DDF377"</f>
        <v>DDF377</v>
      </c>
      <c r="O1460" t="str">
        <f>""</f>
        <v/>
      </c>
      <c r="P1460" t="s">
        <v>267</v>
      </c>
      <c r="Q1460" t="str">
        <f>"5016687137798"</f>
        <v>5016687137798</v>
      </c>
      <c r="R1460" s="1" t="s">
        <v>348</v>
      </c>
      <c r="T1460" s="1" t="s">
        <v>349</v>
      </c>
      <c r="U1460">
        <v>82</v>
      </c>
      <c r="V1460" t="s">
        <v>267</v>
      </c>
      <c r="W1460" t="s">
        <v>267</v>
      </c>
      <c r="X1460" t="s">
        <v>224</v>
      </c>
    </row>
    <row r="1461" spans="1:24">
      <c r="A1461">
        <v>13531</v>
      </c>
      <c r="B1461" t="s">
        <v>25</v>
      </c>
      <c r="C1461" t="str">
        <f t="shared" si="46"/>
        <v>INTEGRA Saloon</v>
      </c>
      <c r="D1461" t="str">
        <f t="shared" si="45"/>
        <v>1.6 i</v>
      </c>
      <c r="E1461" t="s">
        <v>26</v>
      </c>
      <c r="F1461">
        <v>198501</v>
      </c>
      <c r="G1461">
        <v>199012</v>
      </c>
      <c r="H1461">
        <v>88</v>
      </c>
      <c r="I1461">
        <v>120</v>
      </c>
      <c r="J1461">
        <v>1590</v>
      </c>
      <c r="K1461">
        <v>1813172</v>
      </c>
      <c r="L1461" t="s">
        <v>228</v>
      </c>
      <c r="M1461" t="str">
        <f>"DDF3771"</f>
        <v>DDF3771</v>
      </c>
      <c r="N1461" t="str">
        <f>"DDF377-1"</f>
        <v>DDF377-1</v>
      </c>
      <c r="O1461" t="str">
        <f>"DDF377"</f>
        <v>DDF377</v>
      </c>
      <c r="P1461" t="s">
        <v>267</v>
      </c>
      <c r="Q1461" t="str">
        <f>"5016687341690"</f>
        <v>5016687341690</v>
      </c>
      <c r="R1461" s="1" t="s">
        <v>350</v>
      </c>
      <c r="T1461" s="1" t="s">
        <v>351</v>
      </c>
      <c r="U1461">
        <v>82</v>
      </c>
      <c r="V1461" t="s">
        <v>267</v>
      </c>
      <c r="W1461" t="s">
        <v>267</v>
      </c>
      <c r="X1461" t="s">
        <v>224</v>
      </c>
    </row>
    <row r="1462" spans="1:24">
      <c r="A1462">
        <v>13531</v>
      </c>
      <c r="B1462" t="s">
        <v>25</v>
      </c>
      <c r="C1462" t="str">
        <f t="shared" si="46"/>
        <v>INTEGRA Saloon</v>
      </c>
      <c r="D1462" t="str">
        <f t="shared" si="45"/>
        <v>1.6 i</v>
      </c>
      <c r="E1462" t="s">
        <v>26</v>
      </c>
      <c r="F1462">
        <v>198501</v>
      </c>
      <c r="G1462">
        <v>199012</v>
      </c>
      <c r="H1462">
        <v>88</v>
      </c>
      <c r="I1462">
        <v>120</v>
      </c>
      <c r="J1462">
        <v>1590</v>
      </c>
      <c r="K1462">
        <v>1813778</v>
      </c>
      <c r="L1462" t="s">
        <v>228</v>
      </c>
      <c r="M1462" t="str">
        <f>"DDF785"</f>
        <v>DDF785</v>
      </c>
      <c r="N1462" t="str">
        <f>"DDF785"</f>
        <v>DDF785</v>
      </c>
      <c r="O1462" t="str">
        <f>""</f>
        <v/>
      </c>
      <c r="P1462" t="s">
        <v>267</v>
      </c>
      <c r="Q1462" t="str">
        <f>"5016687178593"</f>
        <v>5016687178593</v>
      </c>
      <c r="R1462" t="s">
        <v>352</v>
      </c>
      <c r="S1462" t="s">
        <v>353</v>
      </c>
      <c r="T1462" s="1" t="s">
        <v>354</v>
      </c>
      <c r="U1462">
        <v>82</v>
      </c>
      <c r="V1462" t="s">
        <v>267</v>
      </c>
      <c r="W1462" t="s">
        <v>267</v>
      </c>
      <c r="X1462" t="s">
        <v>224</v>
      </c>
    </row>
    <row r="1463" spans="1:24">
      <c r="A1463">
        <v>13531</v>
      </c>
      <c r="B1463" t="s">
        <v>25</v>
      </c>
      <c r="C1463" t="str">
        <f t="shared" si="46"/>
        <v>INTEGRA Saloon</v>
      </c>
      <c r="D1463" t="str">
        <f t="shared" ref="D1463:D1526" si="47">"1.6 i"</f>
        <v>1.6 i</v>
      </c>
      <c r="E1463" t="s">
        <v>26</v>
      </c>
      <c r="F1463">
        <v>198501</v>
      </c>
      <c r="G1463">
        <v>199012</v>
      </c>
      <c r="H1463">
        <v>88</v>
      </c>
      <c r="I1463">
        <v>120</v>
      </c>
      <c r="J1463">
        <v>1590</v>
      </c>
      <c r="K1463">
        <v>1813779</v>
      </c>
      <c r="L1463" t="s">
        <v>228</v>
      </c>
      <c r="M1463" t="str">
        <f>"DDF7851"</f>
        <v>DDF7851</v>
      </c>
      <c r="N1463" t="str">
        <f>"DDF785-1"</f>
        <v>DDF785-1</v>
      </c>
      <c r="O1463" t="str">
        <f>"DDF785"</f>
        <v>DDF785</v>
      </c>
      <c r="P1463" t="s">
        <v>267</v>
      </c>
      <c r="Q1463" t="str">
        <f>"4044197593620"</f>
        <v>4044197593620</v>
      </c>
      <c r="R1463" t="s">
        <v>355</v>
      </c>
      <c r="S1463" t="s">
        <v>353</v>
      </c>
      <c r="T1463" s="1" t="s">
        <v>356</v>
      </c>
      <c r="U1463">
        <v>82</v>
      </c>
      <c r="V1463" t="s">
        <v>267</v>
      </c>
      <c r="W1463" t="s">
        <v>267</v>
      </c>
      <c r="X1463" t="s">
        <v>224</v>
      </c>
    </row>
    <row r="1464" spans="1:24">
      <c r="A1464">
        <v>13531</v>
      </c>
      <c r="B1464" t="s">
        <v>25</v>
      </c>
      <c r="C1464" t="str">
        <f t="shared" si="46"/>
        <v>INTEGRA Saloon</v>
      </c>
      <c r="D1464" t="str">
        <f t="shared" si="47"/>
        <v>1.6 i</v>
      </c>
      <c r="E1464" t="s">
        <v>26</v>
      </c>
      <c r="F1464">
        <v>198501</v>
      </c>
      <c r="G1464">
        <v>199012</v>
      </c>
      <c r="H1464">
        <v>88</v>
      </c>
      <c r="I1464">
        <v>120</v>
      </c>
      <c r="J1464">
        <v>1590</v>
      </c>
      <c r="K1464">
        <v>1885918</v>
      </c>
      <c r="L1464" t="s">
        <v>231</v>
      </c>
      <c r="M1464" t="str">
        <f>"09502310"</f>
        <v>09502310</v>
      </c>
      <c r="N1464" t="str">
        <f>"09.5023.10"</f>
        <v>09.5023.10</v>
      </c>
      <c r="O1464" t="str">
        <f>""</f>
        <v/>
      </c>
      <c r="P1464" t="s">
        <v>267</v>
      </c>
      <c r="Q1464" t="str">
        <f>"8020584502310"</f>
        <v>8020584502310</v>
      </c>
      <c r="R1464" s="1" t="s">
        <v>357</v>
      </c>
      <c r="S1464" t="s">
        <v>310</v>
      </c>
      <c r="T1464" s="1" t="s">
        <v>358</v>
      </c>
      <c r="U1464">
        <v>82</v>
      </c>
      <c r="V1464" t="s">
        <v>267</v>
      </c>
      <c r="W1464" t="s">
        <v>267</v>
      </c>
      <c r="X1464" t="s">
        <v>224</v>
      </c>
    </row>
    <row r="1465" spans="1:24">
      <c r="A1465">
        <v>13531</v>
      </c>
      <c r="B1465" t="s">
        <v>25</v>
      </c>
      <c r="C1465" t="str">
        <f t="shared" si="46"/>
        <v>INTEGRA Saloon</v>
      </c>
      <c r="D1465" t="str">
        <f t="shared" si="47"/>
        <v>1.6 i</v>
      </c>
      <c r="E1465" t="s">
        <v>26</v>
      </c>
      <c r="F1465">
        <v>198501</v>
      </c>
      <c r="G1465">
        <v>199012</v>
      </c>
      <c r="H1465">
        <v>88</v>
      </c>
      <c r="I1465">
        <v>120</v>
      </c>
      <c r="J1465">
        <v>1590</v>
      </c>
      <c r="K1465">
        <v>2107057</v>
      </c>
      <c r="L1465" t="s">
        <v>95</v>
      </c>
      <c r="M1465" t="str">
        <f>"353611927240"</f>
        <v>353611927240</v>
      </c>
      <c r="N1465" t="str">
        <f>"353611927240"</f>
        <v>353611927240</v>
      </c>
      <c r="O1465" t="str">
        <f>"119272.4"</f>
        <v>119272.4</v>
      </c>
      <c r="P1465" t="s">
        <v>267</v>
      </c>
      <c r="Q1465" t="str">
        <f>"8001063414041"</f>
        <v>8001063414041</v>
      </c>
      <c r="R1465" t="s">
        <v>359</v>
      </c>
      <c r="S1465" t="s">
        <v>360</v>
      </c>
      <c r="T1465" s="1" t="s">
        <v>361</v>
      </c>
      <c r="U1465">
        <v>82</v>
      </c>
      <c r="V1465" t="s">
        <v>267</v>
      </c>
      <c r="W1465" t="s">
        <v>267</v>
      </c>
      <c r="X1465" t="s">
        <v>224</v>
      </c>
    </row>
    <row r="1466" spans="1:24">
      <c r="A1466">
        <v>13531</v>
      </c>
      <c r="B1466" t="s">
        <v>25</v>
      </c>
      <c r="C1466" t="str">
        <f t="shared" si="46"/>
        <v>INTEGRA Saloon</v>
      </c>
      <c r="D1466" t="str">
        <f t="shared" si="47"/>
        <v>1.6 i</v>
      </c>
      <c r="E1466" t="s">
        <v>26</v>
      </c>
      <c r="F1466">
        <v>198501</v>
      </c>
      <c r="G1466">
        <v>199012</v>
      </c>
      <c r="H1466">
        <v>88</v>
      </c>
      <c r="I1466">
        <v>120</v>
      </c>
      <c r="J1466">
        <v>1590</v>
      </c>
      <c r="K1466">
        <v>2110691</v>
      </c>
      <c r="L1466" t="s">
        <v>95</v>
      </c>
      <c r="M1466" t="str">
        <f>"360406027700"</f>
        <v>360406027700</v>
      </c>
      <c r="N1466" t="str">
        <f>"360406027700"</f>
        <v>360406027700</v>
      </c>
      <c r="O1466" t="str">
        <f>"DF0277"</f>
        <v>DF0277</v>
      </c>
      <c r="P1466" t="s">
        <v>267</v>
      </c>
      <c r="Q1466" t="str">
        <f>"8001063561134"</f>
        <v>8001063561134</v>
      </c>
      <c r="R1466" t="s">
        <v>362</v>
      </c>
      <c r="S1466" t="s">
        <v>360</v>
      </c>
      <c r="T1466" s="1" t="s">
        <v>363</v>
      </c>
      <c r="U1466">
        <v>82</v>
      </c>
      <c r="V1466" t="s">
        <v>267</v>
      </c>
      <c r="W1466" t="s">
        <v>267</v>
      </c>
      <c r="X1466" t="s">
        <v>224</v>
      </c>
    </row>
    <row r="1467" spans="1:24">
      <c r="A1467">
        <v>13531</v>
      </c>
      <c r="B1467" t="s">
        <v>25</v>
      </c>
      <c r="C1467" t="str">
        <f t="shared" si="46"/>
        <v>INTEGRA Saloon</v>
      </c>
      <c r="D1467" t="str">
        <f t="shared" si="47"/>
        <v>1.6 i</v>
      </c>
      <c r="E1467" t="s">
        <v>26</v>
      </c>
      <c r="F1467">
        <v>198501</v>
      </c>
      <c r="G1467">
        <v>199012</v>
      </c>
      <c r="H1467">
        <v>88</v>
      </c>
      <c r="I1467">
        <v>120</v>
      </c>
      <c r="J1467">
        <v>1590</v>
      </c>
      <c r="K1467">
        <v>2358368</v>
      </c>
      <c r="L1467" t="s">
        <v>364</v>
      </c>
      <c r="M1467" t="str">
        <f>"BS0830"</f>
        <v>BS0830</v>
      </c>
      <c r="N1467" t="str">
        <f>"BS-0830"</f>
        <v>BS-0830</v>
      </c>
      <c r="O1467" t="str">
        <f>""</f>
        <v/>
      </c>
      <c r="P1467" t="s">
        <v>267</v>
      </c>
      <c r="Q1467" t="str">
        <f>"4031185105064"</f>
        <v>4031185105064</v>
      </c>
      <c r="R1467" t="s">
        <v>365</v>
      </c>
      <c r="S1467" t="s">
        <v>366</v>
      </c>
      <c r="T1467" s="1" t="s">
        <v>367</v>
      </c>
      <c r="U1467">
        <v>82</v>
      </c>
      <c r="V1467" t="s">
        <v>267</v>
      </c>
      <c r="W1467" t="s">
        <v>267</v>
      </c>
      <c r="X1467" t="s">
        <v>224</v>
      </c>
    </row>
    <row r="1468" spans="1:24">
      <c r="A1468">
        <v>13531</v>
      </c>
      <c r="B1468" t="s">
        <v>25</v>
      </c>
      <c r="C1468" t="str">
        <f t="shared" si="46"/>
        <v>INTEGRA Saloon</v>
      </c>
      <c r="D1468" t="str">
        <f t="shared" si="47"/>
        <v>1.6 i</v>
      </c>
      <c r="E1468" t="s">
        <v>26</v>
      </c>
      <c r="F1468">
        <v>198501</v>
      </c>
      <c r="G1468">
        <v>199012</v>
      </c>
      <c r="H1468">
        <v>88</v>
      </c>
      <c r="I1468">
        <v>120</v>
      </c>
      <c r="J1468">
        <v>1590</v>
      </c>
      <c r="K1468">
        <v>2358628</v>
      </c>
      <c r="L1468" t="s">
        <v>364</v>
      </c>
      <c r="M1468" t="str">
        <f>"BS3690"</f>
        <v>BS3690</v>
      </c>
      <c r="N1468" t="str">
        <f>"BS-3690"</f>
        <v>BS-3690</v>
      </c>
      <c r="O1468" t="str">
        <f>""</f>
        <v/>
      </c>
      <c r="P1468" t="s">
        <v>267</v>
      </c>
      <c r="Q1468" t="str">
        <f>"4031185106467"</f>
        <v>4031185106467</v>
      </c>
      <c r="R1468" t="s">
        <v>368</v>
      </c>
      <c r="S1468" t="s">
        <v>369</v>
      </c>
      <c r="T1468" s="1" t="s">
        <v>370</v>
      </c>
      <c r="U1468">
        <v>82</v>
      </c>
      <c r="V1468" t="s">
        <v>267</v>
      </c>
      <c r="W1468" t="s">
        <v>267</v>
      </c>
      <c r="X1468" t="s">
        <v>224</v>
      </c>
    </row>
    <row r="1469" spans="1:24">
      <c r="A1469">
        <v>13531</v>
      </c>
      <c r="B1469" t="s">
        <v>25</v>
      </c>
      <c r="C1469" t="str">
        <f t="shared" si="46"/>
        <v>INTEGRA Saloon</v>
      </c>
      <c r="D1469" t="str">
        <f t="shared" si="47"/>
        <v>1.6 i</v>
      </c>
      <c r="E1469" t="s">
        <v>26</v>
      </c>
      <c r="F1469">
        <v>198501</v>
      </c>
      <c r="G1469">
        <v>199012</v>
      </c>
      <c r="H1469">
        <v>88</v>
      </c>
      <c r="I1469">
        <v>120</v>
      </c>
      <c r="J1469">
        <v>1590</v>
      </c>
      <c r="K1469">
        <v>2548503</v>
      </c>
      <c r="L1469" t="s">
        <v>371</v>
      </c>
      <c r="M1469" t="str">
        <f>"636910"</f>
        <v>636910</v>
      </c>
      <c r="N1469" t="str">
        <f>"6369.10"</f>
        <v>6369.10</v>
      </c>
      <c r="O1469" t="str">
        <f>"DSX636910"</f>
        <v>DSX636910</v>
      </c>
      <c r="P1469" t="s">
        <v>267</v>
      </c>
      <c r="Q1469" t="str">
        <f>"8427975403292"</f>
        <v>8427975403292</v>
      </c>
      <c r="R1469" t="s">
        <v>372</v>
      </c>
      <c r="T1469" s="1" t="s">
        <v>373</v>
      </c>
      <c r="U1469">
        <v>82</v>
      </c>
      <c r="V1469" t="s">
        <v>267</v>
      </c>
      <c r="W1469" t="s">
        <v>267</v>
      </c>
      <c r="X1469" t="s">
        <v>224</v>
      </c>
    </row>
    <row r="1470" spans="1:24">
      <c r="A1470">
        <v>13531</v>
      </c>
      <c r="B1470" t="s">
        <v>25</v>
      </c>
      <c r="C1470" t="str">
        <f t="shared" si="46"/>
        <v>INTEGRA Saloon</v>
      </c>
      <c r="D1470" t="str">
        <f t="shared" si="47"/>
        <v>1.6 i</v>
      </c>
      <c r="E1470" t="s">
        <v>26</v>
      </c>
      <c r="F1470">
        <v>198501</v>
      </c>
      <c r="G1470">
        <v>199012</v>
      </c>
      <c r="H1470">
        <v>88</v>
      </c>
      <c r="I1470">
        <v>120</v>
      </c>
      <c r="J1470">
        <v>1590</v>
      </c>
      <c r="K1470">
        <v>2553925</v>
      </c>
      <c r="L1470" t="s">
        <v>374</v>
      </c>
      <c r="M1470" t="str">
        <f>"636910"</f>
        <v>636910</v>
      </c>
      <c r="N1470" t="str">
        <f>"6369.10"</f>
        <v>6369.10</v>
      </c>
      <c r="O1470" t="str">
        <f>"DCA636910"</f>
        <v>DCA636910</v>
      </c>
      <c r="P1470" t="s">
        <v>267</v>
      </c>
      <c r="Q1470" t="str">
        <f>"8427975153296"</f>
        <v>8427975153296</v>
      </c>
      <c r="R1470" t="s">
        <v>375</v>
      </c>
      <c r="T1470" s="1" t="s">
        <v>376</v>
      </c>
      <c r="U1470">
        <v>82</v>
      </c>
      <c r="V1470" t="s">
        <v>267</v>
      </c>
      <c r="W1470" t="s">
        <v>267</v>
      </c>
      <c r="X1470" t="s">
        <v>224</v>
      </c>
    </row>
    <row r="1471" spans="1:24">
      <c r="A1471">
        <v>13531</v>
      </c>
      <c r="B1471" t="s">
        <v>25</v>
      </c>
      <c r="C1471" t="str">
        <f t="shared" si="46"/>
        <v>INTEGRA Saloon</v>
      </c>
      <c r="D1471" t="str">
        <f t="shared" si="47"/>
        <v>1.6 i</v>
      </c>
      <c r="E1471" t="s">
        <v>26</v>
      </c>
      <c r="F1471">
        <v>198501</v>
      </c>
      <c r="G1471">
        <v>199012</v>
      </c>
      <c r="H1471">
        <v>88</v>
      </c>
      <c r="I1471">
        <v>120</v>
      </c>
      <c r="J1471">
        <v>1590</v>
      </c>
      <c r="K1471">
        <v>2602242</v>
      </c>
      <c r="L1471" t="s">
        <v>377</v>
      </c>
      <c r="M1471" t="str">
        <f>"DF1963"</f>
        <v>DF1963</v>
      </c>
      <c r="N1471" t="str">
        <f>"DF1963"</f>
        <v>DF1963</v>
      </c>
      <c r="O1471" t="str">
        <f>""</f>
        <v/>
      </c>
      <c r="P1471" t="s">
        <v>267</v>
      </c>
      <c r="Q1471" t="str">
        <f>"3322936196303"</f>
        <v>3322936196303</v>
      </c>
      <c r="R1471" s="1" t="s">
        <v>378</v>
      </c>
      <c r="S1471" t="s">
        <v>316</v>
      </c>
      <c r="T1471" s="1" t="s">
        <v>379</v>
      </c>
      <c r="U1471">
        <v>82</v>
      </c>
      <c r="V1471" t="s">
        <v>267</v>
      </c>
      <c r="W1471" t="s">
        <v>267</v>
      </c>
      <c r="X1471" t="s">
        <v>224</v>
      </c>
    </row>
    <row r="1472" spans="1:24">
      <c r="A1472">
        <v>13531</v>
      </c>
      <c r="B1472" t="s">
        <v>25</v>
      </c>
      <c r="C1472" t="str">
        <f t="shared" si="46"/>
        <v>INTEGRA Saloon</v>
      </c>
      <c r="D1472" t="str">
        <f t="shared" si="47"/>
        <v>1.6 i</v>
      </c>
      <c r="E1472" t="s">
        <v>26</v>
      </c>
      <c r="F1472">
        <v>198501</v>
      </c>
      <c r="G1472">
        <v>199012</v>
      </c>
      <c r="H1472">
        <v>88</v>
      </c>
      <c r="I1472">
        <v>120</v>
      </c>
      <c r="J1472">
        <v>1590</v>
      </c>
      <c r="K1472">
        <v>2602543</v>
      </c>
      <c r="L1472" t="s">
        <v>377</v>
      </c>
      <c r="M1472" t="str">
        <f>"DF4004"</f>
        <v>DF4004</v>
      </c>
      <c r="N1472" t="str">
        <f>"DF4004"</f>
        <v>DF4004</v>
      </c>
      <c r="O1472" t="str">
        <f>""</f>
        <v/>
      </c>
      <c r="P1472" t="s">
        <v>267</v>
      </c>
      <c r="Q1472" t="str">
        <f>"3322937200566"</f>
        <v>3322937200566</v>
      </c>
      <c r="R1472" t="s">
        <v>380</v>
      </c>
      <c r="S1472" t="s">
        <v>334</v>
      </c>
      <c r="T1472" s="1" t="s">
        <v>381</v>
      </c>
      <c r="U1472">
        <v>82</v>
      </c>
      <c r="V1472" t="s">
        <v>267</v>
      </c>
      <c r="W1472" t="s">
        <v>267</v>
      </c>
      <c r="X1472" t="s">
        <v>224</v>
      </c>
    </row>
    <row r="1473" spans="1:24">
      <c r="A1473">
        <v>13531</v>
      </c>
      <c r="B1473" t="s">
        <v>25</v>
      </c>
      <c r="C1473" t="str">
        <f t="shared" si="46"/>
        <v>INTEGRA Saloon</v>
      </c>
      <c r="D1473" t="str">
        <f t="shared" si="47"/>
        <v>1.6 i</v>
      </c>
      <c r="E1473" t="s">
        <v>26</v>
      </c>
      <c r="F1473">
        <v>198501</v>
      </c>
      <c r="G1473">
        <v>199012</v>
      </c>
      <c r="H1473">
        <v>88</v>
      </c>
      <c r="I1473">
        <v>120</v>
      </c>
      <c r="J1473">
        <v>1590</v>
      </c>
      <c r="K1473">
        <v>2602706</v>
      </c>
      <c r="L1473" t="s">
        <v>377</v>
      </c>
      <c r="M1473" t="str">
        <f>"DF4191"</f>
        <v>DF4191</v>
      </c>
      <c r="N1473" t="str">
        <f>"DF4191"</f>
        <v>DF4191</v>
      </c>
      <c r="O1473" t="str">
        <f>""</f>
        <v/>
      </c>
      <c r="P1473" t="s">
        <v>267</v>
      </c>
      <c r="Q1473" t="str">
        <f>"3322937320899"</f>
        <v>3322937320899</v>
      </c>
      <c r="R1473" s="1" t="s">
        <v>382</v>
      </c>
      <c r="S1473" t="s">
        <v>342</v>
      </c>
      <c r="T1473" s="1" t="s">
        <v>383</v>
      </c>
      <c r="U1473">
        <v>82</v>
      </c>
      <c r="V1473" t="s">
        <v>267</v>
      </c>
      <c r="W1473" t="s">
        <v>267</v>
      </c>
      <c r="X1473" t="s">
        <v>224</v>
      </c>
    </row>
    <row r="1474" spans="1:24">
      <c r="A1474">
        <v>13531</v>
      </c>
      <c r="B1474" t="s">
        <v>25</v>
      </c>
      <c r="C1474" t="str">
        <f t="shared" ref="C1474:C1537" si="48">"INTEGRA Saloon"</f>
        <v>INTEGRA Saloon</v>
      </c>
      <c r="D1474" t="str">
        <f t="shared" si="47"/>
        <v>1.6 i</v>
      </c>
      <c r="E1474" t="s">
        <v>26</v>
      </c>
      <c r="F1474">
        <v>198501</v>
      </c>
      <c r="G1474">
        <v>199012</v>
      </c>
      <c r="H1474">
        <v>88</v>
      </c>
      <c r="I1474">
        <v>120</v>
      </c>
      <c r="J1474">
        <v>1590</v>
      </c>
      <c r="K1474">
        <v>2644291</v>
      </c>
      <c r="L1474" t="s">
        <v>106</v>
      </c>
      <c r="M1474" t="str">
        <f>"V2680004"</f>
        <v>V2680004</v>
      </c>
      <c r="N1474" t="str">
        <f>"V26-80004"</f>
        <v>V26-80004</v>
      </c>
      <c r="O1474" t="str">
        <f>""</f>
        <v/>
      </c>
      <c r="P1474" t="s">
        <v>267</v>
      </c>
      <c r="Q1474" t="str">
        <f>"4046001469657"</f>
        <v>4046001469657</v>
      </c>
      <c r="R1474" s="1" t="s">
        <v>1321</v>
      </c>
      <c r="S1474" t="s">
        <v>1322</v>
      </c>
      <c r="T1474" s="1" t="s">
        <v>1323</v>
      </c>
      <c r="U1474">
        <v>82</v>
      </c>
      <c r="V1474" t="s">
        <v>267</v>
      </c>
      <c r="W1474" t="s">
        <v>267</v>
      </c>
      <c r="X1474" t="s">
        <v>224</v>
      </c>
    </row>
    <row r="1475" spans="1:24">
      <c r="A1475">
        <v>13531</v>
      </c>
      <c r="B1475" t="s">
        <v>25</v>
      </c>
      <c r="C1475" t="str">
        <f t="shared" si="48"/>
        <v>INTEGRA Saloon</v>
      </c>
      <c r="D1475" t="str">
        <f t="shared" si="47"/>
        <v>1.6 i</v>
      </c>
      <c r="E1475" t="s">
        <v>26</v>
      </c>
      <c r="F1475">
        <v>198501</v>
      </c>
      <c r="G1475">
        <v>199012</v>
      </c>
      <c r="H1475">
        <v>88</v>
      </c>
      <c r="I1475">
        <v>120</v>
      </c>
      <c r="J1475">
        <v>1590</v>
      </c>
      <c r="K1475">
        <v>2741236</v>
      </c>
      <c r="L1475" t="s">
        <v>384</v>
      </c>
      <c r="M1475" t="str">
        <f>"NBD170"</f>
        <v>NBD170</v>
      </c>
      <c r="N1475" t="str">
        <f>"NBD170"</f>
        <v>NBD170</v>
      </c>
      <c r="O1475" t="str">
        <f>""</f>
        <v/>
      </c>
      <c r="P1475" t="s">
        <v>267</v>
      </c>
      <c r="Q1475" t="str">
        <f>""</f>
        <v/>
      </c>
      <c r="R1475" t="s">
        <v>385</v>
      </c>
      <c r="T1475" s="1" t="s">
        <v>386</v>
      </c>
      <c r="U1475">
        <v>82</v>
      </c>
      <c r="V1475" t="s">
        <v>267</v>
      </c>
      <c r="W1475" t="s">
        <v>267</v>
      </c>
      <c r="X1475" t="s">
        <v>224</v>
      </c>
    </row>
    <row r="1476" spans="1:24">
      <c r="A1476">
        <v>13531</v>
      </c>
      <c r="B1476" t="s">
        <v>25</v>
      </c>
      <c r="C1476" t="str">
        <f t="shared" si="48"/>
        <v>INTEGRA Saloon</v>
      </c>
      <c r="D1476" t="str">
        <f t="shared" si="47"/>
        <v>1.6 i</v>
      </c>
      <c r="E1476" t="s">
        <v>26</v>
      </c>
      <c r="F1476">
        <v>198501</v>
      </c>
      <c r="G1476">
        <v>199012</v>
      </c>
      <c r="H1476">
        <v>88</v>
      </c>
      <c r="I1476">
        <v>120</v>
      </c>
      <c r="J1476">
        <v>1590</v>
      </c>
      <c r="K1476">
        <v>2993285</v>
      </c>
      <c r="L1476" t="s">
        <v>242</v>
      </c>
      <c r="M1476" t="str">
        <f>"WN1331"</f>
        <v>WN1331</v>
      </c>
      <c r="N1476" t="str">
        <f>"WN1331"</f>
        <v>WN1331</v>
      </c>
      <c r="O1476" t="str">
        <f>""</f>
        <v/>
      </c>
      <c r="P1476" t="s">
        <v>267</v>
      </c>
      <c r="Q1476" t="str">
        <f>"4044197405947"</f>
        <v>4044197405947</v>
      </c>
      <c r="R1476" t="s">
        <v>387</v>
      </c>
      <c r="S1476" t="s">
        <v>287</v>
      </c>
      <c r="T1476" s="1" t="s">
        <v>388</v>
      </c>
      <c r="U1476">
        <v>82</v>
      </c>
      <c r="V1476" t="s">
        <v>267</v>
      </c>
      <c r="W1476" t="s">
        <v>267</v>
      </c>
      <c r="X1476" t="s">
        <v>224</v>
      </c>
    </row>
    <row r="1477" spans="1:24">
      <c r="A1477">
        <v>13531</v>
      </c>
      <c r="B1477" t="s">
        <v>25</v>
      </c>
      <c r="C1477" t="str">
        <f t="shared" si="48"/>
        <v>INTEGRA Saloon</v>
      </c>
      <c r="D1477" t="str">
        <f t="shared" si="47"/>
        <v>1.6 i</v>
      </c>
      <c r="E1477" t="s">
        <v>26</v>
      </c>
      <c r="F1477">
        <v>198501</v>
      </c>
      <c r="G1477">
        <v>199012</v>
      </c>
      <c r="H1477">
        <v>88</v>
      </c>
      <c r="I1477">
        <v>120</v>
      </c>
      <c r="J1477">
        <v>1590</v>
      </c>
      <c r="K1477">
        <v>2993721</v>
      </c>
      <c r="L1477" t="s">
        <v>242</v>
      </c>
      <c r="M1477" t="str">
        <f>"WN664"</f>
        <v>WN664</v>
      </c>
      <c r="N1477" t="str">
        <f>"WN664"</f>
        <v>WN664</v>
      </c>
      <c r="O1477" t="str">
        <f>""</f>
        <v/>
      </c>
      <c r="P1477" t="s">
        <v>267</v>
      </c>
      <c r="Q1477" t="str">
        <f>"8426345511698"</f>
        <v>8426345511698</v>
      </c>
      <c r="R1477" s="1" t="s">
        <v>348</v>
      </c>
      <c r="T1477" s="1" t="s">
        <v>389</v>
      </c>
      <c r="U1477">
        <v>82</v>
      </c>
      <c r="V1477" t="s">
        <v>267</v>
      </c>
      <c r="W1477" t="s">
        <v>267</v>
      </c>
      <c r="X1477" t="s">
        <v>224</v>
      </c>
    </row>
    <row r="1478" spans="1:24">
      <c r="A1478">
        <v>13531</v>
      </c>
      <c r="B1478" t="s">
        <v>25</v>
      </c>
      <c r="C1478" t="str">
        <f t="shared" si="48"/>
        <v>INTEGRA Saloon</v>
      </c>
      <c r="D1478" t="str">
        <f t="shared" si="47"/>
        <v>1.6 i</v>
      </c>
      <c r="E1478" t="s">
        <v>26</v>
      </c>
      <c r="F1478">
        <v>198501</v>
      </c>
      <c r="G1478">
        <v>199012</v>
      </c>
      <c r="H1478">
        <v>88</v>
      </c>
      <c r="I1478">
        <v>120</v>
      </c>
      <c r="J1478">
        <v>1590</v>
      </c>
      <c r="K1478">
        <v>2995292</v>
      </c>
      <c r="L1478" t="s">
        <v>51</v>
      </c>
      <c r="M1478" t="str">
        <f>"142916"</f>
        <v>142916</v>
      </c>
      <c r="N1478" t="str">
        <f>"142.916"</f>
        <v>142.916</v>
      </c>
      <c r="O1478" t="str">
        <f>"ref. IB: HO 14 1V"</f>
        <v>ref. IB: HO 14 1V</v>
      </c>
      <c r="P1478" t="s">
        <v>267</v>
      </c>
      <c r="Q1478" t="str">
        <f>"8029172016901"</f>
        <v>8029172016901</v>
      </c>
      <c r="R1478" t="s">
        <v>390</v>
      </c>
      <c r="S1478" t="s">
        <v>292</v>
      </c>
      <c r="T1478" s="1" t="s">
        <v>293</v>
      </c>
      <c r="U1478">
        <v>82</v>
      </c>
      <c r="V1478" t="s">
        <v>267</v>
      </c>
      <c r="W1478" t="s">
        <v>267</v>
      </c>
      <c r="X1478" t="s">
        <v>224</v>
      </c>
    </row>
    <row r="1479" spans="1:24">
      <c r="A1479">
        <v>13531</v>
      </c>
      <c r="B1479" t="s">
        <v>25</v>
      </c>
      <c r="C1479" t="str">
        <f t="shared" si="48"/>
        <v>INTEGRA Saloon</v>
      </c>
      <c r="D1479" t="str">
        <f t="shared" si="47"/>
        <v>1.6 i</v>
      </c>
      <c r="E1479" t="s">
        <v>26</v>
      </c>
      <c r="F1479">
        <v>198501</v>
      </c>
      <c r="G1479">
        <v>199012</v>
      </c>
      <c r="H1479">
        <v>88</v>
      </c>
      <c r="I1479">
        <v>120</v>
      </c>
      <c r="J1479">
        <v>1590</v>
      </c>
      <c r="K1479">
        <v>3030120</v>
      </c>
      <c r="L1479" t="s">
        <v>33</v>
      </c>
      <c r="M1479" t="str">
        <f>"J3304019"</f>
        <v>J3304019</v>
      </c>
      <c r="N1479" t="str">
        <f>"J3304019"</f>
        <v>J3304019</v>
      </c>
      <c r="O1479" t="str">
        <f>""</f>
        <v/>
      </c>
      <c r="P1479" t="s">
        <v>267</v>
      </c>
      <c r="Q1479" t="str">
        <f>"8711768052010"</f>
        <v>8711768052010</v>
      </c>
      <c r="R1479" t="s">
        <v>391</v>
      </c>
      <c r="S1479" t="s">
        <v>392</v>
      </c>
      <c r="T1479" s="1" t="s">
        <v>393</v>
      </c>
      <c r="U1479">
        <v>82</v>
      </c>
      <c r="V1479" t="s">
        <v>267</v>
      </c>
      <c r="W1479" t="s">
        <v>267</v>
      </c>
      <c r="X1479" t="s">
        <v>224</v>
      </c>
    </row>
    <row r="1480" spans="1:24">
      <c r="A1480">
        <v>13531</v>
      </c>
      <c r="B1480" t="s">
        <v>25</v>
      </c>
      <c r="C1480" t="str">
        <f t="shared" si="48"/>
        <v>INTEGRA Saloon</v>
      </c>
      <c r="D1480" t="str">
        <f t="shared" si="47"/>
        <v>1.6 i</v>
      </c>
      <c r="E1480" t="s">
        <v>26</v>
      </c>
      <c r="F1480">
        <v>198501</v>
      </c>
      <c r="G1480">
        <v>199012</v>
      </c>
      <c r="H1480">
        <v>88</v>
      </c>
      <c r="I1480">
        <v>120</v>
      </c>
      <c r="J1480">
        <v>1590</v>
      </c>
      <c r="K1480">
        <v>3030330</v>
      </c>
      <c r="L1480" t="s">
        <v>33</v>
      </c>
      <c r="M1480" t="str">
        <f>"J3314003"</f>
        <v>J3314003</v>
      </c>
      <c r="N1480" t="str">
        <f>"J3314003"</f>
        <v>J3314003</v>
      </c>
      <c r="O1480" t="str">
        <f>""</f>
        <v/>
      </c>
      <c r="P1480" t="s">
        <v>267</v>
      </c>
      <c r="Q1480" t="str">
        <f>"8711768053659"</f>
        <v>8711768053659</v>
      </c>
      <c r="R1480" t="s">
        <v>1326</v>
      </c>
      <c r="S1480" t="s">
        <v>1327</v>
      </c>
      <c r="T1480" s="1" t="s">
        <v>1328</v>
      </c>
      <c r="U1480">
        <v>82</v>
      </c>
      <c r="V1480" t="s">
        <v>267</v>
      </c>
      <c r="W1480" t="s">
        <v>267</v>
      </c>
      <c r="X1480" t="s">
        <v>224</v>
      </c>
    </row>
    <row r="1481" spans="1:24">
      <c r="A1481">
        <v>13531</v>
      </c>
      <c r="B1481" t="s">
        <v>25</v>
      </c>
      <c r="C1481" t="str">
        <f t="shared" si="48"/>
        <v>INTEGRA Saloon</v>
      </c>
      <c r="D1481" t="str">
        <f t="shared" si="47"/>
        <v>1.6 i</v>
      </c>
      <c r="E1481" t="s">
        <v>26</v>
      </c>
      <c r="F1481">
        <v>198501</v>
      </c>
      <c r="G1481">
        <v>199012</v>
      </c>
      <c r="H1481">
        <v>88</v>
      </c>
      <c r="I1481">
        <v>120</v>
      </c>
      <c r="J1481">
        <v>1590</v>
      </c>
      <c r="K1481">
        <v>3030337</v>
      </c>
      <c r="L1481" t="s">
        <v>33</v>
      </c>
      <c r="M1481" t="str">
        <f>"J3314019"</f>
        <v>J3314019</v>
      </c>
      <c r="N1481" t="str">
        <f>"J3314019"</f>
        <v>J3314019</v>
      </c>
      <c r="O1481" t="str">
        <f>""</f>
        <v/>
      </c>
      <c r="P1481" t="s">
        <v>267</v>
      </c>
      <c r="Q1481" t="str">
        <f>"8711768053727"</f>
        <v>8711768053727</v>
      </c>
      <c r="R1481" t="s">
        <v>1645</v>
      </c>
      <c r="S1481" t="s">
        <v>1646</v>
      </c>
      <c r="T1481" s="1" t="s">
        <v>1647</v>
      </c>
      <c r="U1481">
        <v>82</v>
      </c>
      <c r="V1481" t="s">
        <v>267</v>
      </c>
      <c r="W1481" t="s">
        <v>267</v>
      </c>
      <c r="X1481" t="s">
        <v>224</v>
      </c>
    </row>
    <row r="1482" spans="1:24">
      <c r="A1482">
        <v>13531</v>
      </c>
      <c r="B1482" t="s">
        <v>25</v>
      </c>
      <c r="C1482" t="str">
        <f t="shared" si="48"/>
        <v>INTEGRA Saloon</v>
      </c>
      <c r="D1482" t="str">
        <f t="shared" si="47"/>
        <v>1.6 i</v>
      </c>
      <c r="E1482" t="s">
        <v>26</v>
      </c>
      <c r="F1482">
        <v>198501</v>
      </c>
      <c r="G1482">
        <v>199012</v>
      </c>
      <c r="H1482">
        <v>88</v>
      </c>
      <c r="I1482">
        <v>120</v>
      </c>
      <c r="J1482">
        <v>1590</v>
      </c>
      <c r="K1482">
        <v>3203549</v>
      </c>
      <c r="L1482" t="s">
        <v>394</v>
      </c>
      <c r="M1482" t="str">
        <f>"TB215304"</f>
        <v>TB215304</v>
      </c>
      <c r="N1482" t="str">
        <f>"TB215304"</f>
        <v>TB215304</v>
      </c>
      <c r="O1482" t="str">
        <f>""</f>
        <v/>
      </c>
      <c r="P1482" t="s">
        <v>267</v>
      </c>
      <c r="Q1482" t="str">
        <f>""</f>
        <v/>
      </c>
      <c r="R1482" t="s">
        <v>395</v>
      </c>
      <c r="T1482" t="s">
        <v>1648</v>
      </c>
      <c r="U1482">
        <v>82</v>
      </c>
      <c r="V1482" t="s">
        <v>267</v>
      </c>
      <c r="W1482" t="s">
        <v>267</v>
      </c>
      <c r="X1482" t="s">
        <v>224</v>
      </c>
    </row>
    <row r="1483" spans="1:24">
      <c r="A1483">
        <v>13531</v>
      </c>
      <c r="B1483" t="s">
        <v>25</v>
      </c>
      <c r="C1483" t="str">
        <f t="shared" si="48"/>
        <v>INTEGRA Saloon</v>
      </c>
      <c r="D1483" t="str">
        <f t="shared" si="47"/>
        <v>1.6 i</v>
      </c>
      <c r="E1483" t="s">
        <v>26</v>
      </c>
      <c r="F1483">
        <v>198501</v>
      </c>
      <c r="G1483">
        <v>199012</v>
      </c>
      <c r="H1483">
        <v>88</v>
      </c>
      <c r="I1483">
        <v>120</v>
      </c>
      <c r="J1483">
        <v>1590</v>
      </c>
      <c r="K1483">
        <v>3203823</v>
      </c>
      <c r="L1483" t="s">
        <v>394</v>
      </c>
      <c r="M1483" t="str">
        <f>"TB217305"</f>
        <v>TB217305</v>
      </c>
      <c r="N1483" t="str">
        <f>"TB217305"</f>
        <v>TB217305</v>
      </c>
      <c r="O1483" t="str">
        <f>""</f>
        <v/>
      </c>
      <c r="P1483" t="s">
        <v>267</v>
      </c>
      <c r="Q1483" t="str">
        <f>""</f>
        <v/>
      </c>
      <c r="R1483" t="s">
        <v>397</v>
      </c>
      <c r="T1483" t="s">
        <v>1649</v>
      </c>
      <c r="U1483">
        <v>82</v>
      </c>
      <c r="V1483" t="s">
        <v>267</v>
      </c>
      <c r="W1483" t="s">
        <v>267</v>
      </c>
      <c r="X1483" t="s">
        <v>224</v>
      </c>
    </row>
    <row r="1484" spans="1:24">
      <c r="A1484">
        <v>13531</v>
      </c>
      <c r="B1484" t="s">
        <v>25</v>
      </c>
      <c r="C1484" t="str">
        <f t="shared" si="48"/>
        <v>INTEGRA Saloon</v>
      </c>
      <c r="D1484" t="str">
        <f t="shared" si="47"/>
        <v>1.6 i</v>
      </c>
      <c r="E1484" t="s">
        <v>26</v>
      </c>
      <c r="F1484">
        <v>198501</v>
      </c>
      <c r="G1484">
        <v>199012</v>
      </c>
      <c r="H1484">
        <v>88</v>
      </c>
      <c r="I1484">
        <v>120</v>
      </c>
      <c r="J1484">
        <v>1590</v>
      </c>
      <c r="K1484">
        <v>3203826</v>
      </c>
      <c r="L1484" t="s">
        <v>394</v>
      </c>
      <c r="M1484" t="str">
        <f>"TB217311"</f>
        <v>TB217311</v>
      </c>
      <c r="N1484" t="str">
        <f>"TB217311"</f>
        <v>TB217311</v>
      </c>
      <c r="O1484" t="str">
        <f>""</f>
        <v/>
      </c>
      <c r="P1484" t="s">
        <v>267</v>
      </c>
      <c r="Q1484" t="str">
        <f>""</f>
        <v/>
      </c>
      <c r="R1484" t="s">
        <v>399</v>
      </c>
      <c r="T1484" t="s">
        <v>1650</v>
      </c>
      <c r="U1484">
        <v>82</v>
      </c>
      <c r="V1484" t="s">
        <v>267</v>
      </c>
      <c r="W1484" t="s">
        <v>267</v>
      </c>
      <c r="X1484" t="s">
        <v>224</v>
      </c>
    </row>
    <row r="1485" spans="1:24">
      <c r="A1485">
        <v>13531</v>
      </c>
      <c r="B1485" t="s">
        <v>25</v>
      </c>
      <c r="C1485" t="str">
        <f t="shared" si="48"/>
        <v>INTEGRA Saloon</v>
      </c>
      <c r="D1485" t="str">
        <f t="shared" si="47"/>
        <v>1.6 i</v>
      </c>
      <c r="E1485" t="s">
        <v>26</v>
      </c>
      <c r="F1485">
        <v>198501</v>
      </c>
      <c r="G1485">
        <v>199012</v>
      </c>
      <c r="H1485">
        <v>88</v>
      </c>
      <c r="I1485">
        <v>120</v>
      </c>
      <c r="J1485">
        <v>1590</v>
      </c>
      <c r="K1485">
        <v>3227005</v>
      </c>
      <c r="L1485" t="s">
        <v>401</v>
      </c>
      <c r="M1485" t="str">
        <f>"6019631"</f>
        <v>6019631</v>
      </c>
      <c r="N1485" t="str">
        <f>"6019631"</f>
        <v>6019631</v>
      </c>
      <c r="O1485" t="str">
        <f>""</f>
        <v/>
      </c>
      <c r="P1485" t="s">
        <v>267</v>
      </c>
      <c r="Q1485" t="str">
        <f>"3322937456741"</f>
        <v>3322937456741</v>
      </c>
      <c r="R1485" s="1" t="s">
        <v>378</v>
      </c>
      <c r="S1485" t="s">
        <v>316</v>
      </c>
      <c r="T1485" s="1" t="s">
        <v>402</v>
      </c>
      <c r="U1485">
        <v>82</v>
      </c>
      <c r="V1485" t="s">
        <v>267</v>
      </c>
      <c r="W1485" t="s">
        <v>267</v>
      </c>
      <c r="X1485" t="s">
        <v>224</v>
      </c>
    </row>
    <row r="1486" spans="1:24">
      <c r="A1486">
        <v>13531</v>
      </c>
      <c r="B1486" t="s">
        <v>25</v>
      </c>
      <c r="C1486" t="str">
        <f t="shared" si="48"/>
        <v>INTEGRA Saloon</v>
      </c>
      <c r="D1486" t="str">
        <f t="shared" si="47"/>
        <v>1.6 i</v>
      </c>
      <c r="E1486" t="s">
        <v>26</v>
      </c>
      <c r="F1486">
        <v>198501</v>
      </c>
      <c r="G1486">
        <v>199012</v>
      </c>
      <c r="H1486">
        <v>88</v>
      </c>
      <c r="I1486">
        <v>120</v>
      </c>
      <c r="J1486">
        <v>1590</v>
      </c>
      <c r="K1486">
        <v>3227370</v>
      </c>
      <c r="L1486" t="s">
        <v>401</v>
      </c>
      <c r="M1486" t="str">
        <f>"6041914"</f>
        <v>6041914</v>
      </c>
      <c r="N1486" t="str">
        <f>"6041914"</f>
        <v>6041914</v>
      </c>
      <c r="O1486" t="str">
        <f>""</f>
        <v/>
      </c>
      <c r="P1486" t="s">
        <v>267</v>
      </c>
      <c r="Q1486" t="str">
        <f>"3322937458608"</f>
        <v>3322937458608</v>
      </c>
      <c r="R1486" s="1" t="s">
        <v>382</v>
      </c>
      <c r="S1486" t="s">
        <v>342</v>
      </c>
      <c r="T1486" s="1" t="s">
        <v>403</v>
      </c>
      <c r="U1486">
        <v>82</v>
      </c>
      <c r="V1486" t="s">
        <v>267</v>
      </c>
      <c r="W1486" t="s">
        <v>267</v>
      </c>
      <c r="X1486" t="s">
        <v>224</v>
      </c>
    </row>
    <row r="1487" spans="1:24">
      <c r="A1487">
        <v>13531</v>
      </c>
      <c r="B1487" t="s">
        <v>25</v>
      </c>
      <c r="C1487" t="str">
        <f t="shared" si="48"/>
        <v>INTEGRA Saloon</v>
      </c>
      <c r="D1487" t="str">
        <f t="shared" si="47"/>
        <v>1.6 i</v>
      </c>
      <c r="E1487" t="s">
        <v>26</v>
      </c>
      <c r="F1487">
        <v>198501</v>
      </c>
      <c r="G1487">
        <v>199012</v>
      </c>
      <c r="H1487">
        <v>88</v>
      </c>
      <c r="I1487">
        <v>120</v>
      </c>
      <c r="J1487">
        <v>1590</v>
      </c>
      <c r="K1487">
        <v>3232028</v>
      </c>
      <c r="L1487" t="s">
        <v>404</v>
      </c>
      <c r="M1487" t="str">
        <f>"24202"</f>
        <v>24202</v>
      </c>
      <c r="N1487" t="str">
        <f>"24202"</f>
        <v>24202</v>
      </c>
      <c r="O1487" t="str">
        <f>""</f>
        <v/>
      </c>
      <c r="P1487" t="s">
        <v>267</v>
      </c>
      <c r="Q1487" t="str">
        <f>"8020584242025"</f>
        <v>8020584242025</v>
      </c>
      <c r="R1487" s="1" t="s">
        <v>405</v>
      </c>
      <c r="S1487" t="s">
        <v>310</v>
      </c>
      <c r="T1487" s="1" t="s">
        <v>406</v>
      </c>
      <c r="U1487">
        <v>82</v>
      </c>
      <c r="V1487" t="s">
        <v>267</v>
      </c>
      <c r="W1487" t="s">
        <v>267</v>
      </c>
      <c r="X1487" t="s">
        <v>224</v>
      </c>
    </row>
    <row r="1488" spans="1:24">
      <c r="A1488">
        <v>13531</v>
      </c>
      <c r="B1488" t="s">
        <v>25</v>
      </c>
      <c r="C1488" t="str">
        <f t="shared" si="48"/>
        <v>INTEGRA Saloon</v>
      </c>
      <c r="D1488" t="str">
        <f t="shared" si="47"/>
        <v>1.6 i</v>
      </c>
      <c r="E1488" t="s">
        <v>26</v>
      </c>
      <c r="F1488">
        <v>198501</v>
      </c>
      <c r="G1488">
        <v>199012</v>
      </c>
      <c r="H1488">
        <v>88</v>
      </c>
      <c r="I1488">
        <v>120</v>
      </c>
      <c r="J1488">
        <v>1590</v>
      </c>
      <c r="K1488">
        <v>3245167</v>
      </c>
      <c r="L1488" t="s">
        <v>199</v>
      </c>
      <c r="M1488" t="str">
        <f>"636910"</f>
        <v>636910</v>
      </c>
      <c r="N1488" t="str">
        <f>"6369 10"</f>
        <v>6369 10</v>
      </c>
      <c r="O1488" t="str">
        <f>""</f>
        <v/>
      </c>
      <c r="P1488" t="s">
        <v>267</v>
      </c>
      <c r="Q1488" t="str">
        <f>""</f>
        <v/>
      </c>
      <c r="R1488" t="s">
        <v>375</v>
      </c>
      <c r="T1488" s="1" t="s">
        <v>376</v>
      </c>
      <c r="U1488">
        <v>82</v>
      </c>
      <c r="V1488" t="s">
        <v>267</v>
      </c>
      <c r="W1488" t="s">
        <v>267</v>
      </c>
      <c r="X1488" t="s">
        <v>224</v>
      </c>
    </row>
    <row r="1489" spans="1:24">
      <c r="A1489">
        <v>13531</v>
      </c>
      <c r="B1489" t="s">
        <v>25</v>
      </c>
      <c r="C1489" t="str">
        <f t="shared" si="48"/>
        <v>INTEGRA Saloon</v>
      </c>
      <c r="D1489" t="str">
        <f t="shared" si="47"/>
        <v>1.6 i</v>
      </c>
      <c r="E1489" t="s">
        <v>26</v>
      </c>
      <c r="F1489">
        <v>198501</v>
      </c>
      <c r="G1489">
        <v>199012</v>
      </c>
      <c r="H1489">
        <v>88</v>
      </c>
      <c r="I1489">
        <v>120</v>
      </c>
      <c r="J1489">
        <v>1590</v>
      </c>
      <c r="K1489">
        <v>3285509</v>
      </c>
      <c r="L1489" t="s">
        <v>407</v>
      </c>
      <c r="M1489" t="str">
        <f>"BS7938"</f>
        <v>BS7938</v>
      </c>
      <c r="N1489" t="str">
        <f>"BS 7938"</f>
        <v>BS 7938</v>
      </c>
      <c r="O1489" t="str">
        <f>""</f>
        <v/>
      </c>
      <c r="P1489" t="s">
        <v>267</v>
      </c>
      <c r="Q1489" t="str">
        <f>"8020584979389"</f>
        <v>8020584979389</v>
      </c>
      <c r="R1489" s="1" t="s">
        <v>408</v>
      </c>
      <c r="S1489" t="s">
        <v>310</v>
      </c>
      <c r="T1489" s="1" t="s">
        <v>409</v>
      </c>
      <c r="U1489">
        <v>82</v>
      </c>
      <c r="V1489" t="s">
        <v>267</v>
      </c>
      <c r="W1489" t="s">
        <v>267</v>
      </c>
      <c r="X1489" t="s">
        <v>224</v>
      </c>
    </row>
    <row r="1490" spans="1:24">
      <c r="A1490">
        <v>13531</v>
      </c>
      <c r="B1490" t="s">
        <v>25</v>
      </c>
      <c r="C1490" t="str">
        <f t="shared" si="48"/>
        <v>INTEGRA Saloon</v>
      </c>
      <c r="D1490" t="str">
        <f t="shared" si="47"/>
        <v>1.6 i</v>
      </c>
      <c r="E1490" t="s">
        <v>26</v>
      </c>
      <c r="F1490">
        <v>198501</v>
      </c>
      <c r="G1490">
        <v>199012</v>
      </c>
      <c r="H1490">
        <v>88</v>
      </c>
      <c r="I1490">
        <v>120</v>
      </c>
      <c r="J1490">
        <v>1590</v>
      </c>
      <c r="K1490">
        <v>3655922</v>
      </c>
      <c r="L1490" t="s">
        <v>410</v>
      </c>
      <c r="M1490" t="str">
        <f>"D636910"</f>
        <v>D636910</v>
      </c>
      <c r="N1490" t="str">
        <f>"D6369.10"</f>
        <v>D6369.10</v>
      </c>
      <c r="O1490" t="str">
        <f>"DSA636910"</f>
        <v>DSA636910</v>
      </c>
      <c r="P1490" t="s">
        <v>267</v>
      </c>
      <c r="Q1490" t="str">
        <f>"8427975403292"</f>
        <v>8427975403292</v>
      </c>
      <c r="R1490" t="s">
        <v>372</v>
      </c>
      <c r="T1490" s="1" t="s">
        <v>411</v>
      </c>
      <c r="U1490">
        <v>82</v>
      </c>
      <c r="V1490" t="s">
        <v>267</v>
      </c>
      <c r="W1490" t="s">
        <v>267</v>
      </c>
      <c r="X1490" t="s">
        <v>224</v>
      </c>
    </row>
    <row r="1491" spans="1:24">
      <c r="A1491">
        <v>13531</v>
      </c>
      <c r="B1491" t="s">
        <v>25</v>
      </c>
      <c r="C1491" t="str">
        <f t="shared" si="48"/>
        <v>INTEGRA Saloon</v>
      </c>
      <c r="D1491" t="str">
        <f t="shared" si="47"/>
        <v>1.6 i</v>
      </c>
      <c r="E1491" t="s">
        <v>26</v>
      </c>
      <c r="F1491">
        <v>198501</v>
      </c>
      <c r="G1491">
        <v>199012</v>
      </c>
      <c r="H1491">
        <v>88</v>
      </c>
      <c r="I1491">
        <v>120</v>
      </c>
      <c r="J1491">
        <v>1590</v>
      </c>
      <c r="K1491">
        <v>3708404</v>
      </c>
      <c r="L1491" t="s">
        <v>412</v>
      </c>
      <c r="M1491" t="str">
        <f>"DI952450"</f>
        <v>DI952450</v>
      </c>
      <c r="N1491" t="str">
        <f>"DI952450"</f>
        <v>DI952450</v>
      </c>
      <c r="O1491" t="str">
        <f>""</f>
        <v/>
      </c>
      <c r="P1491" t="s">
        <v>267</v>
      </c>
      <c r="Q1491" t="str">
        <f>""</f>
        <v/>
      </c>
      <c r="R1491" t="s">
        <v>413</v>
      </c>
      <c r="S1491" t="s">
        <v>316</v>
      </c>
      <c r="T1491" s="1" t="s">
        <v>414</v>
      </c>
      <c r="U1491">
        <v>82</v>
      </c>
      <c r="V1491" t="s">
        <v>267</v>
      </c>
      <c r="W1491" t="s">
        <v>267</v>
      </c>
      <c r="X1491" t="s">
        <v>224</v>
      </c>
    </row>
    <row r="1492" spans="1:24">
      <c r="A1492">
        <v>13531</v>
      </c>
      <c r="B1492" t="s">
        <v>25</v>
      </c>
      <c r="C1492" t="str">
        <f t="shared" si="48"/>
        <v>INTEGRA Saloon</v>
      </c>
      <c r="D1492" t="str">
        <f t="shared" si="47"/>
        <v>1.6 i</v>
      </c>
      <c r="E1492" t="s">
        <v>26</v>
      </c>
      <c r="F1492">
        <v>198501</v>
      </c>
      <c r="G1492">
        <v>199012</v>
      </c>
      <c r="H1492">
        <v>88</v>
      </c>
      <c r="I1492">
        <v>120</v>
      </c>
      <c r="J1492">
        <v>1590</v>
      </c>
      <c r="K1492">
        <v>3708405</v>
      </c>
      <c r="L1492" t="s">
        <v>412</v>
      </c>
      <c r="M1492" t="str">
        <f>"DI952460"</f>
        <v>DI952460</v>
      </c>
      <c r="N1492" t="str">
        <f>"DI952460"</f>
        <v>DI952460</v>
      </c>
      <c r="O1492" t="str">
        <f>""</f>
        <v/>
      </c>
      <c r="P1492" t="s">
        <v>267</v>
      </c>
      <c r="Q1492" t="str">
        <f>"5050590204796"</f>
        <v>5050590204796</v>
      </c>
      <c r="R1492" t="s">
        <v>415</v>
      </c>
      <c r="S1492" t="s">
        <v>334</v>
      </c>
      <c r="T1492" t="s">
        <v>416</v>
      </c>
      <c r="U1492">
        <v>82</v>
      </c>
      <c r="V1492" t="s">
        <v>267</v>
      </c>
      <c r="W1492" t="s">
        <v>267</v>
      </c>
      <c r="X1492" t="s">
        <v>224</v>
      </c>
    </row>
    <row r="1493" spans="1:24">
      <c r="A1493">
        <v>13531</v>
      </c>
      <c r="B1493" t="s">
        <v>25</v>
      </c>
      <c r="C1493" t="str">
        <f t="shared" si="48"/>
        <v>INTEGRA Saloon</v>
      </c>
      <c r="D1493" t="str">
        <f t="shared" si="47"/>
        <v>1.6 i</v>
      </c>
      <c r="E1493" t="s">
        <v>26</v>
      </c>
      <c r="F1493">
        <v>198501</v>
      </c>
      <c r="G1493">
        <v>199012</v>
      </c>
      <c r="H1493">
        <v>88</v>
      </c>
      <c r="I1493">
        <v>120</v>
      </c>
      <c r="J1493">
        <v>1590</v>
      </c>
      <c r="K1493">
        <v>3708691</v>
      </c>
      <c r="L1493" t="s">
        <v>412</v>
      </c>
      <c r="M1493" t="str">
        <f>"DI955373"</f>
        <v>DI955373</v>
      </c>
      <c r="N1493" t="str">
        <f>"DI955373"</f>
        <v>DI955373</v>
      </c>
      <c r="O1493" t="str">
        <f>""</f>
        <v/>
      </c>
      <c r="P1493" t="s">
        <v>267</v>
      </c>
      <c r="Q1493" t="str">
        <f>""</f>
        <v/>
      </c>
      <c r="R1493" t="s">
        <v>417</v>
      </c>
      <c r="S1493" t="s">
        <v>342</v>
      </c>
      <c r="T1493" s="1" t="s">
        <v>418</v>
      </c>
      <c r="U1493">
        <v>82</v>
      </c>
      <c r="V1493" t="s">
        <v>267</v>
      </c>
      <c r="W1493" t="s">
        <v>267</v>
      </c>
      <c r="X1493" t="s">
        <v>224</v>
      </c>
    </row>
    <row r="1494" spans="1:24">
      <c r="A1494">
        <v>13531</v>
      </c>
      <c r="B1494" t="s">
        <v>25</v>
      </c>
      <c r="C1494" t="str">
        <f t="shared" si="48"/>
        <v>INTEGRA Saloon</v>
      </c>
      <c r="D1494" t="str">
        <f t="shared" si="47"/>
        <v>1.6 i</v>
      </c>
      <c r="E1494" t="s">
        <v>26</v>
      </c>
      <c r="F1494">
        <v>198501</v>
      </c>
      <c r="G1494">
        <v>199012</v>
      </c>
      <c r="H1494">
        <v>88</v>
      </c>
      <c r="I1494">
        <v>120</v>
      </c>
      <c r="J1494">
        <v>1590</v>
      </c>
      <c r="K1494">
        <v>3837763</v>
      </c>
      <c r="L1494" t="s">
        <v>419</v>
      </c>
      <c r="M1494" t="str">
        <f>"ADC0510"</f>
        <v>ADC0510</v>
      </c>
      <c r="N1494" t="str">
        <f>"ADC0510"</f>
        <v>ADC0510</v>
      </c>
      <c r="O1494" t="str">
        <f>""</f>
        <v/>
      </c>
      <c r="P1494" t="s">
        <v>267</v>
      </c>
      <c r="Q1494" t="str">
        <f>""</f>
        <v/>
      </c>
      <c r="R1494" s="1" t="s">
        <v>420</v>
      </c>
      <c r="S1494" t="s">
        <v>421</v>
      </c>
      <c r="T1494" s="1" t="s">
        <v>422</v>
      </c>
      <c r="U1494">
        <v>82</v>
      </c>
      <c r="V1494" t="s">
        <v>267</v>
      </c>
      <c r="W1494" t="s">
        <v>267</v>
      </c>
      <c r="X1494" t="s">
        <v>224</v>
      </c>
    </row>
    <row r="1495" spans="1:24">
      <c r="A1495">
        <v>13531</v>
      </c>
      <c r="B1495" t="s">
        <v>25</v>
      </c>
      <c r="C1495" t="str">
        <f t="shared" si="48"/>
        <v>INTEGRA Saloon</v>
      </c>
      <c r="D1495" t="str">
        <f t="shared" si="47"/>
        <v>1.6 i</v>
      </c>
      <c r="E1495" t="s">
        <v>26</v>
      </c>
      <c r="F1495">
        <v>198501</v>
      </c>
      <c r="G1495">
        <v>199012</v>
      </c>
      <c r="H1495">
        <v>88</v>
      </c>
      <c r="I1495">
        <v>120</v>
      </c>
      <c r="J1495">
        <v>1590</v>
      </c>
      <c r="K1495">
        <v>3954963</v>
      </c>
      <c r="L1495" t="s">
        <v>27</v>
      </c>
      <c r="M1495" t="str">
        <f>"09939104"</f>
        <v>09939104</v>
      </c>
      <c r="N1495" t="str">
        <f>"0993-9104"</f>
        <v>0993-9104</v>
      </c>
      <c r="O1495" t="str">
        <f>""</f>
        <v/>
      </c>
      <c r="P1495" t="s">
        <v>267</v>
      </c>
      <c r="Q1495" t="str">
        <f>"8718993041376"</f>
        <v>8718993041376</v>
      </c>
      <c r="R1495" s="1" t="s">
        <v>1651</v>
      </c>
      <c r="S1495" t="s">
        <v>1652</v>
      </c>
      <c r="T1495" s="1" t="s">
        <v>1653</v>
      </c>
      <c r="U1495">
        <v>82</v>
      </c>
      <c r="V1495" t="s">
        <v>267</v>
      </c>
      <c r="W1495" t="s">
        <v>267</v>
      </c>
      <c r="X1495" t="s">
        <v>224</v>
      </c>
    </row>
    <row r="1496" spans="1:24">
      <c r="A1496">
        <v>13531</v>
      </c>
      <c r="B1496" t="s">
        <v>25</v>
      </c>
      <c r="C1496" t="str">
        <f t="shared" si="48"/>
        <v>INTEGRA Saloon</v>
      </c>
      <c r="D1496" t="str">
        <f t="shared" si="47"/>
        <v>1.6 i</v>
      </c>
      <c r="E1496" t="s">
        <v>26</v>
      </c>
      <c r="F1496">
        <v>198501</v>
      </c>
      <c r="G1496">
        <v>199012</v>
      </c>
      <c r="H1496">
        <v>88</v>
      </c>
      <c r="I1496">
        <v>120</v>
      </c>
      <c r="J1496">
        <v>1590</v>
      </c>
      <c r="K1496">
        <v>3963695</v>
      </c>
      <c r="L1496" t="s">
        <v>27</v>
      </c>
      <c r="M1496" t="str">
        <f>"H03507"</f>
        <v>H03507</v>
      </c>
      <c r="N1496" t="str">
        <f>"H035-07"</f>
        <v>H035-07</v>
      </c>
      <c r="O1496" t="str">
        <f>""</f>
        <v/>
      </c>
      <c r="P1496" t="s">
        <v>267</v>
      </c>
      <c r="Q1496" t="str">
        <f>"8718993206065"</f>
        <v>8718993206065</v>
      </c>
      <c r="R1496" s="1" t="s">
        <v>423</v>
      </c>
      <c r="S1496" t="s">
        <v>424</v>
      </c>
      <c r="T1496" s="1" t="s">
        <v>425</v>
      </c>
      <c r="U1496">
        <v>82</v>
      </c>
      <c r="V1496" t="s">
        <v>267</v>
      </c>
      <c r="W1496" t="s">
        <v>267</v>
      </c>
      <c r="X1496" t="s">
        <v>224</v>
      </c>
    </row>
    <row r="1497" spans="1:24">
      <c r="A1497">
        <v>13531</v>
      </c>
      <c r="B1497" t="s">
        <v>25</v>
      </c>
      <c r="C1497" t="str">
        <f t="shared" si="48"/>
        <v>INTEGRA Saloon</v>
      </c>
      <c r="D1497" t="str">
        <f t="shared" si="47"/>
        <v>1.6 i</v>
      </c>
      <c r="E1497" t="s">
        <v>26</v>
      </c>
      <c r="F1497">
        <v>198501</v>
      </c>
      <c r="G1497">
        <v>199012</v>
      </c>
      <c r="H1497">
        <v>88</v>
      </c>
      <c r="I1497">
        <v>120</v>
      </c>
      <c r="J1497">
        <v>1590</v>
      </c>
      <c r="K1497">
        <v>3963729</v>
      </c>
      <c r="L1497" t="s">
        <v>27</v>
      </c>
      <c r="M1497" t="str">
        <f>"H03901"</f>
        <v>H03901</v>
      </c>
      <c r="N1497" t="str">
        <f>"H039-01"</f>
        <v>H039-01</v>
      </c>
      <c r="O1497" t="str">
        <f>""</f>
        <v/>
      </c>
      <c r="P1497" t="s">
        <v>267</v>
      </c>
      <c r="Q1497" t="str">
        <f>"8718993206669"</f>
        <v>8718993206669</v>
      </c>
      <c r="R1497" s="1" t="s">
        <v>1330</v>
      </c>
      <c r="S1497" t="s">
        <v>1331</v>
      </c>
      <c r="T1497" s="1" t="s">
        <v>1332</v>
      </c>
      <c r="U1497">
        <v>82</v>
      </c>
      <c r="V1497" t="s">
        <v>267</v>
      </c>
      <c r="W1497" t="s">
        <v>267</v>
      </c>
      <c r="X1497" t="s">
        <v>224</v>
      </c>
    </row>
    <row r="1498" spans="1:24">
      <c r="A1498">
        <v>13531</v>
      </c>
      <c r="B1498" t="s">
        <v>25</v>
      </c>
      <c r="C1498" t="str">
        <f t="shared" si="48"/>
        <v>INTEGRA Saloon</v>
      </c>
      <c r="D1498" t="str">
        <f t="shared" si="47"/>
        <v>1.6 i</v>
      </c>
      <c r="E1498" t="s">
        <v>26</v>
      </c>
      <c r="F1498">
        <v>198501</v>
      </c>
      <c r="G1498">
        <v>199012</v>
      </c>
      <c r="H1498">
        <v>88</v>
      </c>
      <c r="I1498">
        <v>120</v>
      </c>
      <c r="J1498">
        <v>1590</v>
      </c>
      <c r="K1498">
        <v>4051288</v>
      </c>
      <c r="L1498" t="s">
        <v>426</v>
      </c>
      <c r="M1498" t="str">
        <f>"6281496"</f>
        <v>6281496</v>
      </c>
      <c r="N1498" t="str">
        <f>"628.1496"</f>
        <v>628.1496</v>
      </c>
      <c r="O1498" t="str">
        <f>""</f>
        <v/>
      </c>
      <c r="P1498" t="s">
        <v>267</v>
      </c>
      <c r="Q1498" t="str">
        <f>"8432509048382"</f>
        <v>8432509048382</v>
      </c>
      <c r="R1498" s="1" t="s">
        <v>427</v>
      </c>
      <c r="S1498" t="s">
        <v>310</v>
      </c>
      <c r="T1498" s="1" t="s">
        <v>358</v>
      </c>
      <c r="U1498">
        <v>82</v>
      </c>
      <c r="V1498" t="s">
        <v>267</v>
      </c>
      <c r="W1498" t="s">
        <v>267</v>
      </c>
      <c r="X1498" t="s">
        <v>224</v>
      </c>
    </row>
    <row r="1499" spans="1:24">
      <c r="A1499">
        <v>13531</v>
      </c>
      <c r="B1499" t="s">
        <v>25</v>
      </c>
      <c r="C1499" t="str">
        <f t="shared" si="48"/>
        <v>INTEGRA Saloon</v>
      </c>
      <c r="D1499" t="str">
        <f t="shared" si="47"/>
        <v>1.6 i</v>
      </c>
      <c r="E1499" t="s">
        <v>26</v>
      </c>
      <c r="F1499">
        <v>198501</v>
      </c>
      <c r="G1499">
        <v>199012</v>
      </c>
      <c r="H1499">
        <v>88</v>
      </c>
      <c r="I1499">
        <v>120</v>
      </c>
      <c r="J1499">
        <v>1590</v>
      </c>
      <c r="K1499">
        <v>4099016</v>
      </c>
      <c r="L1499" t="s">
        <v>1119</v>
      </c>
      <c r="M1499" t="str">
        <f>"BBD4007"</f>
        <v>BBD4007</v>
      </c>
      <c r="N1499" t="str">
        <f>"BBD4007"</f>
        <v>BBD4007</v>
      </c>
      <c r="O1499" t="str">
        <f>""</f>
        <v/>
      </c>
      <c r="P1499" t="s">
        <v>267</v>
      </c>
      <c r="Q1499" t="str">
        <f>""</f>
        <v/>
      </c>
      <c r="R1499" t="s">
        <v>1333</v>
      </c>
      <c r="S1499" t="s">
        <v>1334</v>
      </c>
      <c r="T1499" s="1" t="s">
        <v>1335</v>
      </c>
      <c r="U1499">
        <v>82</v>
      </c>
      <c r="V1499" t="s">
        <v>267</v>
      </c>
      <c r="W1499" t="s">
        <v>267</v>
      </c>
      <c r="X1499" t="s">
        <v>224</v>
      </c>
    </row>
    <row r="1500" spans="1:24">
      <c r="A1500">
        <v>13531</v>
      </c>
      <c r="B1500" t="s">
        <v>25</v>
      </c>
      <c r="C1500" t="str">
        <f t="shared" si="48"/>
        <v>INTEGRA Saloon</v>
      </c>
      <c r="D1500" t="str">
        <f t="shared" si="47"/>
        <v>1.6 i</v>
      </c>
      <c r="E1500" t="s">
        <v>26</v>
      </c>
      <c r="F1500">
        <v>198501</v>
      </c>
      <c r="G1500">
        <v>199012</v>
      </c>
      <c r="H1500">
        <v>88</v>
      </c>
      <c r="I1500">
        <v>120</v>
      </c>
      <c r="J1500">
        <v>1590</v>
      </c>
      <c r="K1500">
        <v>4199259</v>
      </c>
      <c r="L1500" t="s">
        <v>255</v>
      </c>
      <c r="M1500" t="str">
        <f>"C34019ABE"</f>
        <v>C34019ABE</v>
      </c>
      <c r="N1500" t="str">
        <f>"C34019ABE"</f>
        <v>C34019ABE</v>
      </c>
      <c r="O1500" t="str">
        <f>""</f>
        <v/>
      </c>
      <c r="P1500" t="s">
        <v>267</v>
      </c>
      <c r="Q1500" t="str">
        <f>""</f>
        <v/>
      </c>
      <c r="R1500" t="s">
        <v>428</v>
      </c>
      <c r="S1500" t="s">
        <v>429</v>
      </c>
      <c r="T1500" s="1" t="s">
        <v>430</v>
      </c>
      <c r="U1500">
        <v>82</v>
      </c>
      <c r="V1500" t="s">
        <v>267</v>
      </c>
      <c r="W1500" t="s">
        <v>267</v>
      </c>
      <c r="X1500" t="s">
        <v>224</v>
      </c>
    </row>
    <row r="1501" spans="1:24">
      <c r="A1501">
        <v>13531</v>
      </c>
      <c r="B1501" t="s">
        <v>25</v>
      </c>
      <c r="C1501" t="str">
        <f t="shared" si="48"/>
        <v>INTEGRA Saloon</v>
      </c>
      <c r="D1501" t="str">
        <f t="shared" si="47"/>
        <v>1.6 i</v>
      </c>
      <c r="E1501" t="s">
        <v>26</v>
      </c>
      <c r="F1501">
        <v>198501</v>
      </c>
      <c r="G1501">
        <v>199012</v>
      </c>
      <c r="H1501">
        <v>88</v>
      </c>
      <c r="I1501">
        <v>120</v>
      </c>
      <c r="J1501">
        <v>1590</v>
      </c>
      <c r="K1501">
        <v>4199264</v>
      </c>
      <c r="L1501" t="s">
        <v>255</v>
      </c>
      <c r="M1501" t="str">
        <f>"C34026ABE"</f>
        <v>C34026ABE</v>
      </c>
      <c r="N1501" t="str">
        <f>"C34026ABE"</f>
        <v>C34026ABE</v>
      </c>
      <c r="O1501" t="str">
        <f>""</f>
        <v/>
      </c>
      <c r="P1501" t="s">
        <v>267</v>
      </c>
      <c r="Q1501" t="str">
        <f>""</f>
        <v/>
      </c>
      <c r="R1501" t="s">
        <v>431</v>
      </c>
      <c r="S1501" t="s">
        <v>432</v>
      </c>
      <c r="T1501" s="1" t="s">
        <v>433</v>
      </c>
      <c r="U1501">
        <v>82</v>
      </c>
      <c r="V1501" t="s">
        <v>267</v>
      </c>
      <c r="W1501" t="s">
        <v>267</v>
      </c>
      <c r="X1501" t="s">
        <v>224</v>
      </c>
    </row>
    <row r="1502" spans="1:24">
      <c r="A1502">
        <v>13531</v>
      </c>
      <c r="B1502" t="s">
        <v>25</v>
      </c>
      <c r="C1502" t="str">
        <f t="shared" si="48"/>
        <v>INTEGRA Saloon</v>
      </c>
      <c r="D1502" t="str">
        <f t="shared" si="47"/>
        <v>1.6 i</v>
      </c>
      <c r="E1502" t="s">
        <v>26</v>
      </c>
      <c r="F1502">
        <v>198501</v>
      </c>
      <c r="G1502">
        <v>199012</v>
      </c>
      <c r="H1502">
        <v>88</v>
      </c>
      <c r="I1502">
        <v>120</v>
      </c>
      <c r="J1502">
        <v>1590</v>
      </c>
      <c r="K1502">
        <v>4199852</v>
      </c>
      <c r="L1502" t="s">
        <v>255</v>
      </c>
      <c r="M1502" t="str">
        <f>"C44014ABE"</f>
        <v>C44014ABE</v>
      </c>
      <c r="N1502" t="str">
        <f>"C44014ABE"</f>
        <v>C44014ABE</v>
      </c>
      <c r="O1502" t="str">
        <f>""</f>
        <v/>
      </c>
      <c r="P1502" t="s">
        <v>267</v>
      </c>
      <c r="Q1502" t="str">
        <f>""</f>
        <v/>
      </c>
      <c r="R1502" t="s">
        <v>434</v>
      </c>
      <c r="S1502" t="s">
        <v>342</v>
      </c>
      <c r="T1502" s="1" t="s">
        <v>435</v>
      </c>
      <c r="U1502">
        <v>82</v>
      </c>
      <c r="V1502" t="s">
        <v>267</v>
      </c>
      <c r="W1502" t="s">
        <v>267</v>
      </c>
      <c r="X1502" t="s">
        <v>224</v>
      </c>
    </row>
    <row r="1503" spans="1:24">
      <c r="A1503">
        <v>13531</v>
      </c>
      <c r="B1503" t="s">
        <v>25</v>
      </c>
      <c r="C1503" t="str">
        <f t="shared" si="48"/>
        <v>INTEGRA Saloon</v>
      </c>
      <c r="D1503" t="str">
        <f t="shared" si="47"/>
        <v>1.6 i</v>
      </c>
      <c r="E1503" t="s">
        <v>26</v>
      </c>
      <c r="F1503">
        <v>198501</v>
      </c>
      <c r="G1503">
        <v>199012</v>
      </c>
      <c r="H1503">
        <v>88</v>
      </c>
      <c r="I1503">
        <v>120</v>
      </c>
      <c r="J1503">
        <v>1590</v>
      </c>
      <c r="K1503">
        <v>4269392</v>
      </c>
      <c r="L1503" t="s">
        <v>436</v>
      </c>
      <c r="M1503" t="str">
        <f>"BD1045"</f>
        <v>BD1045</v>
      </c>
      <c r="N1503" t="str">
        <f>"BD1045"</f>
        <v>BD1045</v>
      </c>
      <c r="O1503" t="str">
        <f>""</f>
        <v/>
      </c>
      <c r="P1503" t="s">
        <v>267</v>
      </c>
      <c r="Q1503" t="str">
        <f>""</f>
        <v/>
      </c>
      <c r="R1503" t="s">
        <v>437</v>
      </c>
      <c r="T1503" s="1" t="s">
        <v>438</v>
      </c>
      <c r="U1503">
        <v>82</v>
      </c>
      <c r="V1503" t="s">
        <v>267</v>
      </c>
      <c r="W1503" t="s">
        <v>267</v>
      </c>
      <c r="X1503" t="s">
        <v>224</v>
      </c>
    </row>
    <row r="1504" spans="1:24">
      <c r="A1504">
        <v>13531</v>
      </c>
      <c r="B1504" t="s">
        <v>25</v>
      </c>
      <c r="C1504" t="str">
        <f t="shared" si="48"/>
        <v>INTEGRA Saloon</v>
      </c>
      <c r="D1504" t="str">
        <f t="shared" si="47"/>
        <v>1.6 i</v>
      </c>
      <c r="E1504" t="s">
        <v>26</v>
      </c>
      <c r="F1504">
        <v>198501</v>
      </c>
      <c r="G1504">
        <v>199012</v>
      </c>
      <c r="H1504">
        <v>88</v>
      </c>
      <c r="I1504">
        <v>120</v>
      </c>
      <c r="J1504">
        <v>1590</v>
      </c>
      <c r="K1504">
        <v>4594270</v>
      </c>
      <c r="L1504" t="s">
        <v>439</v>
      </c>
      <c r="M1504" t="str">
        <f>"RT2003"</f>
        <v>RT2003</v>
      </c>
      <c r="N1504" t="str">
        <f>"RT 2003"</f>
        <v>RT 2003</v>
      </c>
      <c r="O1504" t="str">
        <f>"2003"</f>
        <v>2003</v>
      </c>
      <c r="P1504" t="s">
        <v>267</v>
      </c>
      <c r="Q1504" t="str">
        <f>"5901436312666"</f>
        <v>5901436312666</v>
      </c>
      <c r="R1504" s="1" t="s">
        <v>440</v>
      </c>
      <c r="S1504" t="s">
        <v>316</v>
      </c>
      <c r="T1504" s="1" t="s">
        <v>441</v>
      </c>
      <c r="U1504">
        <v>82</v>
      </c>
      <c r="V1504" t="s">
        <v>267</v>
      </c>
      <c r="W1504" t="s">
        <v>267</v>
      </c>
      <c r="X1504" t="s">
        <v>224</v>
      </c>
    </row>
    <row r="1505" spans="1:25">
      <c r="A1505">
        <v>13531</v>
      </c>
      <c r="B1505" t="s">
        <v>25</v>
      </c>
      <c r="C1505" t="str">
        <f t="shared" si="48"/>
        <v>INTEGRA Saloon</v>
      </c>
      <c r="D1505" t="str">
        <f t="shared" si="47"/>
        <v>1.6 i</v>
      </c>
      <c r="E1505" t="s">
        <v>26</v>
      </c>
      <c r="F1505">
        <v>198501</v>
      </c>
      <c r="G1505">
        <v>199012</v>
      </c>
      <c r="H1505">
        <v>88</v>
      </c>
      <c r="I1505">
        <v>120</v>
      </c>
      <c r="J1505">
        <v>1590</v>
      </c>
      <c r="K1505">
        <v>4594271</v>
      </c>
      <c r="L1505" t="s">
        <v>439</v>
      </c>
      <c r="M1505" t="str">
        <f>"RT2003T5"</f>
        <v>RT2003T5</v>
      </c>
      <c r="N1505" t="str">
        <f>"RT 2003 T5"</f>
        <v>RT 2003 T5</v>
      </c>
      <c r="O1505" t="str">
        <f>"2003/T5"</f>
        <v>2003/T5</v>
      </c>
      <c r="P1505" t="s">
        <v>267</v>
      </c>
      <c r="Q1505" t="str">
        <f>"5901436320845"</f>
        <v>5901436320845</v>
      </c>
      <c r="R1505" s="1" t="s">
        <v>442</v>
      </c>
      <c r="S1505" t="s">
        <v>316</v>
      </c>
      <c r="T1505" s="1" t="s">
        <v>443</v>
      </c>
      <c r="U1505">
        <v>82</v>
      </c>
      <c r="V1505" t="s">
        <v>267</v>
      </c>
      <c r="W1505" t="s">
        <v>267</v>
      </c>
      <c r="X1505" t="s">
        <v>224</v>
      </c>
    </row>
    <row r="1506" spans="1:25">
      <c r="A1506">
        <v>13531</v>
      </c>
      <c r="B1506" t="s">
        <v>25</v>
      </c>
      <c r="C1506" t="str">
        <f t="shared" si="48"/>
        <v>INTEGRA Saloon</v>
      </c>
      <c r="D1506" t="str">
        <f t="shared" si="47"/>
        <v>1.6 i</v>
      </c>
      <c r="E1506" t="s">
        <v>26</v>
      </c>
      <c r="F1506">
        <v>198501</v>
      </c>
      <c r="G1506">
        <v>199012</v>
      </c>
      <c r="H1506">
        <v>88</v>
      </c>
      <c r="I1506">
        <v>120</v>
      </c>
      <c r="J1506">
        <v>1590</v>
      </c>
      <c r="K1506">
        <v>4979745</v>
      </c>
      <c r="L1506" t="s">
        <v>302</v>
      </c>
      <c r="M1506" t="str">
        <f>"8510030000"</f>
        <v>8510030000</v>
      </c>
      <c r="N1506" t="str">
        <f>"851003.0000"</f>
        <v>851003.0000</v>
      </c>
      <c r="O1506" t="str">
        <f>""</f>
        <v/>
      </c>
      <c r="P1506" t="s">
        <v>267</v>
      </c>
      <c r="Q1506" t="str">
        <f>""</f>
        <v/>
      </c>
      <c r="R1506" s="1" t="s">
        <v>1336</v>
      </c>
      <c r="S1506" t="s">
        <v>1337</v>
      </c>
      <c r="T1506" t="s">
        <v>1338</v>
      </c>
      <c r="U1506">
        <v>82</v>
      </c>
      <c r="V1506" t="s">
        <v>267</v>
      </c>
      <c r="W1506" t="s">
        <v>267</v>
      </c>
      <c r="X1506" t="s">
        <v>224</v>
      </c>
    </row>
    <row r="1507" spans="1:25">
      <c r="A1507">
        <v>13531</v>
      </c>
      <c r="B1507" t="s">
        <v>25</v>
      </c>
      <c r="C1507" t="str">
        <f t="shared" si="48"/>
        <v>INTEGRA Saloon</v>
      </c>
      <c r="D1507" t="str">
        <f t="shared" si="47"/>
        <v>1.6 i</v>
      </c>
      <c r="E1507" t="s">
        <v>26</v>
      </c>
      <c r="F1507">
        <v>198501</v>
      </c>
      <c r="G1507">
        <v>199012</v>
      </c>
      <c r="H1507">
        <v>88</v>
      </c>
      <c r="I1507">
        <v>120</v>
      </c>
      <c r="J1507">
        <v>1590</v>
      </c>
      <c r="K1507">
        <v>4979746</v>
      </c>
      <c r="L1507" t="s">
        <v>302</v>
      </c>
      <c r="M1507" t="str">
        <f>"8510036060"</f>
        <v>8510036060</v>
      </c>
      <c r="N1507" t="str">
        <f>"851003.6060"</f>
        <v>851003.6060</v>
      </c>
      <c r="O1507" t="str">
        <f>""</f>
        <v/>
      </c>
      <c r="P1507" t="s">
        <v>267</v>
      </c>
      <c r="Q1507" t="str">
        <f>""</f>
        <v/>
      </c>
      <c r="R1507" s="1" t="s">
        <v>1336</v>
      </c>
      <c r="S1507" t="s">
        <v>1337</v>
      </c>
      <c r="T1507" t="s">
        <v>1338</v>
      </c>
      <c r="U1507">
        <v>82</v>
      </c>
      <c r="V1507" t="s">
        <v>267</v>
      </c>
      <c r="W1507" t="s">
        <v>267</v>
      </c>
      <c r="X1507" t="s">
        <v>224</v>
      </c>
    </row>
    <row r="1508" spans="1:25">
      <c r="A1508">
        <v>13531</v>
      </c>
      <c r="B1508" t="s">
        <v>25</v>
      </c>
      <c r="C1508" t="str">
        <f t="shared" si="48"/>
        <v>INTEGRA Saloon</v>
      </c>
      <c r="D1508" t="str">
        <f t="shared" si="47"/>
        <v>1.6 i</v>
      </c>
      <c r="E1508" t="s">
        <v>26</v>
      </c>
      <c r="F1508">
        <v>198501</v>
      </c>
      <c r="G1508">
        <v>199012</v>
      </c>
      <c r="H1508">
        <v>88</v>
      </c>
      <c r="I1508">
        <v>120</v>
      </c>
      <c r="J1508">
        <v>1590</v>
      </c>
      <c r="K1508">
        <v>4979747</v>
      </c>
      <c r="L1508" t="s">
        <v>302</v>
      </c>
      <c r="M1508" t="str">
        <f>"8510036880"</f>
        <v>8510036880</v>
      </c>
      <c r="N1508" t="str">
        <f>"851003.6880"</f>
        <v>851003.6880</v>
      </c>
      <c r="O1508" t="str">
        <f>""</f>
        <v/>
      </c>
      <c r="P1508" t="s">
        <v>267</v>
      </c>
      <c r="Q1508" t="str">
        <f>""</f>
        <v/>
      </c>
      <c r="R1508" s="1" t="s">
        <v>1336</v>
      </c>
      <c r="S1508" t="s">
        <v>1337</v>
      </c>
      <c r="T1508" t="s">
        <v>1338</v>
      </c>
      <c r="U1508">
        <v>82</v>
      </c>
      <c r="V1508" t="s">
        <v>267</v>
      </c>
      <c r="W1508" t="s">
        <v>267</v>
      </c>
      <c r="X1508" t="s">
        <v>224</v>
      </c>
    </row>
    <row r="1509" spans="1:25">
      <c r="A1509">
        <v>13531</v>
      </c>
      <c r="B1509" t="s">
        <v>25</v>
      </c>
      <c r="C1509" t="str">
        <f t="shared" si="48"/>
        <v>INTEGRA Saloon</v>
      </c>
      <c r="D1509" t="str">
        <f t="shared" si="47"/>
        <v>1.6 i</v>
      </c>
      <c r="E1509" t="s">
        <v>26</v>
      </c>
      <c r="F1509">
        <v>198501</v>
      </c>
      <c r="G1509">
        <v>199012</v>
      </c>
      <c r="H1509">
        <v>88</v>
      </c>
      <c r="I1509">
        <v>120</v>
      </c>
      <c r="J1509">
        <v>1590</v>
      </c>
      <c r="K1509">
        <v>4979748</v>
      </c>
      <c r="L1509" t="s">
        <v>302</v>
      </c>
      <c r="M1509" t="str">
        <f>"8510036980"</f>
        <v>8510036980</v>
      </c>
      <c r="N1509" t="str">
        <f>"851003.6980"</f>
        <v>851003.6980</v>
      </c>
      <c r="O1509" t="str">
        <f>""</f>
        <v/>
      </c>
      <c r="P1509" t="s">
        <v>267</v>
      </c>
      <c r="Q1509" t="str">
        <f>""</f>
        <v/>
      </c>
      <c r="R1509" s="1" t="s">
        <v>1336</v>
      </c>
      <c r="S1509" t="s">
        <v>1337</v>
      </c>
      <c r="T1509" t="s">
        <v>1338</v>
      </c>
      <c r="U1509">
        <v>82</v>
      </c>
      <c r="V1509" t="s">
        <v>267</v>
      </c>
      <c r="W1509" t="s">
        <v>267</v>
      </c>
      <c r="X1509" t="s">
        <v>224</v>
      </c>
    </row>
    <row r="1510" spans="1:25">
      <c r="A1510">
        <v>13531</v>
      </c>
      <c r="B1510" t="s">
        <v>25</v>
      </c>
      <c r="C1510" t="str">
        <f t="shared" si="48"/>
        <v>INTEGRA Saloon</v>
      </c>
      <c r="D1510" t="str">
        <f t="shared" si="47"/>
        <v>1.6 i</v>
      </c>
      <c r="E1510" t="s">
        <v>26</v>
      </c>
      <c r="F1510">
        <v>198501</v>
      </c>
      <c r="G1510">
        <v>199012</v>
      </c>
      <c r="H1510">
        <v>88</v>
      </c>
      <c r="I1510">
        <v>120</v>
      </c>
      <c r="J1510">
        <v>1590</v>
      </c>
      <c r="K1510">
        <v>4979758</v>
      </c>
      <c r="L1510" t="s">
        <v>302</v>
      </c>
      <c r="M1510" t="str">
        <f>"8510086060"</f>
        <v>8510086060</v>
      </c>
      <c r="N1510" t="str">
        <f>"851008.6060"</f>
        <v>851008.6060</v>
      </c>
      <c r="O1510" t="str">
        <f>""</f>
        <v/>
      </c>
      <c r="P1510" t="s">
        <v>267</v>
      </c>
      <c r="Q1510" t="str">
        <f>""</f>
        <v/>
      </c>
      <c r="R1510" s="1" t="s">
        <v>303</v>
      </c>
      <c r="S1510" t="s">
        <v>304</v>
      </c>
      <c r="T1510" t="s">
        <v>305</v>
      </c>
      <c r="U1510">
        <v>82</v>
      </c>
      <c r="V1510" t="s">
        <v>267</v>
      </c>
      <c r="W1510" t="s">
        <v>267</v>
      </c>
      <c r="X1510" t="s">
        <v>224</v>
      </c>
    </row>
    <row r="1511" spans="1:25">
      <c r="A1511">
        <v>13531</v>
      </c>
      <c r="B1511" t="s">
        <v>25</v>
      </c>
      <c r="C1511" t="str">
        <f t="shared" si="48"/>
        <v>INTEGRA Saloon</v>
      </c>
      <c r="D1511" t="str">
        <f t="shared" si="47"/>
        <v>1.6 i</v>
      </c>
      <c r="E1511" t="s">
        <v>26</v>
      </c>
      <c r="F1511">
        <v>198501</v>
      </c>
      <c r="G1511">
        <v>199012</v>
      </c>
      <c r="H1511">
        <v>88</v>
      </c>
      <c r="I1511">
        <v>120</v>
      </c>
      <c r="J1511">
        <v>1590</v>
      </c>
      <c r="K1511">
        <v>4979759</v>
      </c>
      <c r="L1511" t="s">
        <v>302</v>
      </c>
      <c r="M1511" t="str">
        <f>"8510086880"</f>
        <v>8510086880</v>
      </c>
      <c r="N1511" t="str">
        <f>"851008.6880"</f>
        <v>851008.6880</v>
      </c>
      <c r="O1511" t="str">
        <f>""</f>
        <v/>
      </c>
      <c r="P1511" t="s">
        <v>267</v>
      </c>
      <c r="Q1511" t="str">
        <f>""</f>
        <v/>
      </c>
      <c r="R1511" s="1" t="s">
        <v>303</v>
      </c>
      <c r="S1511" t="s">
        <v>304</v>
      </c>
      <c r="T1511" t="s">
        <v>444</v>
      </c>
      <c r="U1511">
        <v>82</v>
      </c>
      <c r="V1511" t="s">
        <v>267</v>
      </c>
      <c r="W1511" t="s">
        <v>267</v>
      </c>
      <c r="X1511" t="s">
        <v>224</v>
      </c>
    </row>
    <row r="1512" spans="1:25">
      <c r="A1512">
        <v>13531</v>
      </c>
      <c r="B1512" t="s">
        <v>25</v>
      </c>
      <c r="C1512" t="str">
        <f t="shared" si="48"/>
        <v>INTEGRA Saloon</v>
      </c>
      <c r="D1512" t="str">
        <f t="shared" si="47"/>
        <v>1.6 i</v>
      </c>
      <c r="E1512" t="s">
        <v>26</v>
      </c>
      <c r="F1512">
        <v>198501</v>
      </c>
      <c r="G1512">
        <v>199012</v>
      </c>
      <c r="H1512">
        <v>88</v>
      </c>
      <c r="I1512">
        <v>120</v>
      </c>
      <c r="J1512">
        <v>1590</v>
      </c>
      <c r="K1512">
        <v>4979760</v>
      </c>
      <c r="L1512" t="s">
        <v>302</v>
      </c>
      <c r="M1512" t="str">
        <f>"8510086980"</f>
        <v>8510086980</v>
      </c>
      <c r="N1512" t="str">
        <f>"851008.6980"</f>
        <v>851008.6980</v>
      </c>
      <c r="O1512" t="str">
        <f>""</f>
        <v/>
      </c>
      <c r="P1512" t="s">
        <v>267</v>
      </c>
      <c r="Q1512" t="str">
        <f>""</f>
        <v/>
      </c>
      <c r="R1512" s="1" t="s">
        <v>303</v>
      </c>
      <c r="S1512" t="s">
        <v>304</v>
      </c>
      <c r="T1512" t="s">
        <v>445</v>
      </c>
      <c r="U1512">
        <v>82</v>
      </c>
      <c r="V1512" t="s">
        <v>267</v>
      </c>
      <c r="W1512" t="s">
        <v>267</v>
      </c>
      <c r="X1512" t="s">
        <v>224</v>
      </c>
    </row>
    <row r="1513" spans="1:25">
      <c r="A1513">
        <v>13531</v>
      </c>
      <c r="B1513" t="s">
        <v>25</v>
      </c>
      <c r="C1513" t="str">
        <f t="shared" si="48"/>
        <v>INTEGRA Saloon</v>
      </c>
      <c r="D1513" t="str">
        <f t="shared" si="47"/>
        <v>1.6 i</v>
      </c>
      <c r="E1513" t="s">
        <v>26</v>
      </c>
      <c r="F1513">
        <v>198501</v>
      </c>
      <c r="G1513">
        <v>199012</v>
      </c>
      <c r="H1513">
        <v>88</v>
      </c>
      <c r="I1513">
        <v>120</v>
      </c>
      <c r="J1513">
        <v>1590</v>
      </c>
      <c r="K1513">
        <v>4979807</v>
      </c>
      <c r="L1513" t="s">
        <v>302</v>
      </c>
      <c r="M1513" t="str">
        <f>"8510546060"</f>
        <v>8510546060</v>
      </c>
      <c r="N1513" t="str">
        <f>"851054.6060"</f>
        <v>851054.6060</v>
      </c>
      <c r="O1513" t="str">
        <f>""</f>
        <v/>
      </c>
      <c r="P1513" t="s">
        <v>267</v>
      </c>
      <c r="Q1513" t="str">
        <f>""</f>
        <v/>
      </c>
      <c r="R1513" s="1" t="s">
        <v>306</v>
      </c>
      <c r="S1513" t="s">
        <v>307</v>
      </c>
      <c r="T1513" t="s">
        <v>446</v>
      </c>
      <c r="U1513">
        <v>82</v>
      </c>
      <c r="V1513" t="s">
        <v>267</v>
      </c>
      <c r="W1513" t="s">
        <v>267</v>
      </c>
      <c r="X1513" t="s">
        <v>224</v>
      </c>
    </row>
    <row r="1514" spans="1:25">
      <c r="A1514">
        <v>13531</v>
      </c>
      <c r="B1514" t="s">
        <v>25</v>
      </c>
      <c r="C1514" t="str">
        <f t="shared" si="48"/>
        <v>INTEGRA Saloon</v>
      </c>
      <c r="D1514" t="str">
        <f t="shared" si="47"/>
        <v>1.6 i</v>
      </c>
      <c r="E1514" t="s">
        <v>26</v>
      </c>
      <c r="F1514">
        <v>198501</v>
      </c>
      <c r="G1514">
        <v>199012</v>
      </c>
      <c r="H1514">
        <v>88</v>
      </c>
      <c r="I1514">
        <v>120</v>
      </c>
      <c r="J1514">
        <v>1590</v>
      </c>
      <c r="K1514">
        <v>4979808</v>
      </c>
      <c r="L1514" t="s">
        <v>302</v>
      </c>
      <c r="M1514" t="str">
        <f>"8510546880"</f>
        <v>8510546880</v>
      </c>
      <c r="N1514" t="str">
        <f>"851054.6880"</f>
        <v>851054.6880</v>
      </c>
      <c r="O1514" t="str">
        <f>""</f>
        <v/>
      </c>
      <c r="P1514" t="s">
        <v>267</v>
      </c>
      <c r="Q1514" t="str">
        <f>""</f>
        <v/>
      </c>
      <c r="R1514" s="1" t="s">
        <v>306</v>
      </c>
      <c r="S1514" t="s">
        <v>307</v>
      </c>
      <c r="T1514" t="s">
        <v>447</v>
      </c>
      <c r="U1514">
        <v>82</v>
      </c>
      <c r="V1514" t="s">
        <v>267</v>
      </c>
      <c r="W1514" t="s">
        <v>267</v>
      </c>
      <c r="X1514" t="s">
        <v>224</v>
      </c>
    </row>
    <row r="1515" spans="1:25">
      <c r="A1515">
        <v>13531</v>
      </c>
      <c r="B1515" t="s">
        <v>25</v>
      </c>
      <c r="C1515" t="str">
        <f t="shared" si="48"/>
        <v>INTEGRA Saloon</v>
      </c>
      <c r="D1515" t="str">
        <f t="shared" si="47"/>
        <v>1.6 i</v>
      </c>
      <c r="E1515" t="s">
        <v>26</v>
      </c>
      <c r="F1515">
        <v>198501</v>
      </c>
      <c r="G1515">
        <v>199012</v>
      </c>
      <c r="H1515">
        <v>88</v>
      </c>
      <c r="I1515">
        <v>120</v>
      </c>
      <c r="J1515">
        <v>1590</v>
      </c>
      <c r="K1515">
        <v>4979809</v>
      </c>
      <c r="L1515" t="s">
        <v>302</v>
      </c>
      <c r="M1515" t="str">
        <f>"8510546980"</f>
        <v>8510546980</v>
      </c>
      <c r="N1515" t="str">
        <f>"851054.6980"</f>
        <v>851054.6980</v>
      </c>
      <c r="O1515" t="str">
        <f>""</f>
        <v/>
      </c>
      <c r="P1515" t="s">
        <v>267</v>
      </c>
      <c r="Q1515" t="str">
        <f>""</f>
        <v/>
      </c>
      <c r="R1515" s="1" t="s">
        <v>306</v>
      </c>
      <c r="S1515" t="s">
        <v>307</v>
      </c>
      <c r="T1515" t="s">
        <v>448</v>
      </c>
      <c r="U1515">
        <v>82</v>
      </c>
      <c r="V1515" t="s">
        <v>267</v>
      </c>
      <c r="W1515" t="s">
        <v>267</v>
      </c>
      <c r="X1515" t="s">
        <v>224</v>
      </c>
    </row>
    <row r="1516" spans="1:25">
      <c r="A1516">
        <v>13531</v>
      </c>
      <c r="B1516" t="s">
        <v>25</v>
      </c>
      <c r="C1516" t="str">
        <f t="shared" si="48"/>
        <v>INTEGRA Saloon</v>
      </c>
      <c r="D1516" t="str">
        <f t="shared" si="47"/>
        <v>1.6 i</v>
      </c>
      <c r="E1516" t="s">
        <v>26</v>
      </c>
      <c r="F1516">
        <v>198501</v>
      </c>
      <c r="G1516">
        <v>199012</v>
      </c>
      <c r="H1516">
        <v>88</v>
      </c>
      <c r="I1516">
        <v>120</v>
      </c>
      <c r="J1516">
        <v>1590</v>
      </c>
      <c r="K1516">
        <v>589505</v>
      </c>
      <c r="L1516" t="s">
        <v>636</v>
      </c>
      <c r="M1516" t="str">
        <f>"JE625"</f>
        <v>JE625</v>
      </c>
      <c r="N1516" t="str">
        <f>"JE625"</f>
        <v>JE625</v>
      </c>
      <c r="O1516" t="str">
        <f>""</f>
        <v/>
      </c>
      <c r="P1516" t="s">
        <v>1339</v>
      </c>
      <c r="Q1516" t="str">
        <f>""</f>
        <v/>
      </c>
      <c r="S1516" t="s">
        <v>1632</v>
      </c>
      <c r="T1516" t="s">
        <v>1654</v>
      </c>
      <c r="U1516">
        <v>138</v>
      </c>
      <c r="V1516" t="s">
        <v>1339</v>
      </c>
      <c r="W1516" t="s">
        <v>640</v>
      </c>
      <c r="X1516" t="s">
        <v>1341</v>
      </c>
      <c r="Y1516" t="s">
        <v>1342</v>
      </c>
    </row>
    <row r="1517" spans="1:25">
      <c r="A1517">
        <v>13531</v>
      </c>
      <c r="B1517" t="s">
        <v>25</v>
      </c>
      <c r="C1517" t="str">
        <f t="shared" si="48"/>
        <v>INTEGRA Saloon</v>
      </c>
      <c r="D1517" t="str">
        <f t="shared" si="47"/>
        <v>1.6 i</v>
      </c>
      <c r="E1517" t="s">
        <v>26</v>
      </c>
      <c r="F1517">
        <v>198501</v>
      </c>
      <c r="G1517">
        <v>199012</v>
      </c>
      <c r="H1517">
        <v>88</v>
      </c>
      <c r="I1517">
        <v>120</v>
      </c>
      <c r="J1517">
        <v>1590</v>
      </c>
      <c r="K1517">
        <v>589515</v>
      </c>
      <c r="L1517" t="s">
        <v>636</v>
      </c>
      <c r="M1517" t="str">
        <f>"JF024"</f>
        <v>JF024</v>
      </c>
      <c r="N1517" t="str">
        <f>"JF024"</f>
        <v>JF024</v>
      </c>
      <c r="O1517" t="str">
        <f>""</f>
        <v/>
      </c>
      <c r="P1517" t="s">
        <v>1339</v>
      </c>
      <c r="Q1517" t="str">
        <f>""</f>
        <v/>
      </c>
      <c r="R1517" t="s">
        <v>1343</v>
      </c>
      <c r="S1517" t="s">
        <v>1632</v>
      </c>
      <c r="T1517" t="s">
        <v>1344</v>
      </c>
      <c r="U1517">
        <v>138</v>
      </c>
      <c r="V1517" t="s">
        <v>1339</v>
      </c>
      <c r="W1517" t="s">
        <v>640</v>
      </c>
      <c r="X1517" t="s">
        <v>1341</v>
      </c>
      <c r="Y1517" t="s">
        <v>1342</v>
      </c>
    </row>
    <row r="1518" spans="1:25">
      <c r="A1518">
        <v>13531</v>
      </c>
      <c r="B1518" t="s">
        <v>25</v>
      </c>
      <c r="C1518" t="str">
        <f t="shared" si="48"/>
        <v>INTEGRA Saloon</v>
      </c>
      <c r="D1518" t="str">
        <f t="shared" si="47"/>
        <v>1.6 i</v>
      </c>
      <c r="E1518" t="s">
        <v>26</v>
      </c>
      <c r="F1518">
        <v>198501</v>
      </c>
      <c r="G1518">
        <v>199012</v>
      </c>
      <c r="H1518">
        <v>88</v>
      </c>
      <c r="I1518">
        <v>120</v>
      </c>
      <c r="J1518">
        <v>1590</v>
      </c>
      <c r="K1518">
        <v>833965</v>
      </c>
      <c r="L1518" t="s">
        <v>1291</v>
      </c>
      <c r="M1518" t="str">
        <f>"CK0392"</f>
        <v>CK0392</v>
      </c>
      <c r="N1518" t="str">
        <f>"CK0392"</f>
        <v>CK0392</v>
      </c>
      <c r="O1518" t="str">
        <f>""</f>
        <v/>
      </c>
      <c r="P1518" t="s">
        <v>1345</v>
      </c>
      <c r="Q1518" t="str">
        <f>""</f>
        <v/>
      </c>
      <c r="R1518" t="s">
        <v>1346</v>
      </c>
      <c r="S1518" t="s">
        <v>1293</v>
      </c>
      <c r="T1518" s="1" t="s">
        <v>1347</v>
      </c>
      <c r="U1518">
        <v>150</v>
      </c>
      <c r="V1518" t="s">
        <v>1345</v>
      </c>
      <c r="W1518" t="s">
        <v>649</v>
      </c>
      <c r="X1518" t="s">
        <v>1348</v>
      </c>
      <c r="Y1518" t="s">
        <v>1348</v>
      </c>
    </row>
    <row r="1519" spans="1:25">
      <c r="A1519">
        <v>13531</v>
      </c>
      <c r="B1519" t="s">
        <v>25</v>
      </c>
      <c r="C1519" t="str">
        <f t="shared" si="48"/>
        <v>INTEGRA Saloon</v>
      </c>
      <c r="D1519" t="str">
        <f t="shared" si="47"/>
        <v>1.6 i</v>
      </c>
      <c r="E1519" t="s">
        <v>26</v>
      </c>
      <c r="F1519">
        <v>198501</v>
      </c>
      <c r="G1519">
        <v>199012</v>
      </c>
      <c r="H1519">
        <v>88</v>
      </c>
      <c r="I1519">
        <v>120</v>
      </c>
      <c r="J1519">
        <v>1590</v>
      </c>
      <c r="K1519">
        <v>4900099</v>
      </c>
      <c r="L1519" t="s">
        <v>449</v>
      </c>
      <c r="M1519" t="str">
        <f>"11847"</f>
        <v>11847</v>
      </c>
      <c r="N1519" t="str">
        <f>"11847"</f>
        <v>11847</v>
      </c>
      <c r="O1519" t="str">
        <f>""</f>
        <v/>
      </c>
      <c r="P1519" t="s">
        <v>450</v>
      </c>
      <c r="Q1519" t="str">
        <f>"8435392001083"</f>
        <v>8435392001083</v>
      </c>
      <c r="R1519" t="s">
        <v>451</v>
      </c>
      <c r="T1519" s="1" t="s">
        <v>452</v>
      </c>
      <c r="U1519">
        <v>191</v>
      </c>
      <c r="V1519" t="s">
        <v>450</v>
      </c>
      <c r="W1519" t="s">
        <v>453</v>
      </c>
      <c r="X1519" t="s">
        <v>211</v>
      </c>
    </row>
    <row r="1520" spans="1:25">
      <c r="A1520">
        <v>13531</v>
      </c>
      <c r="B1520" t="s">
        <v>25</v>
      </c>
      <c r="C1520" t="str">
        <f t="shared" si="48"/>
        <v>INTEGRA Saloon</v>
      </c>
      <c r="D1520" t="str">
        <f t="shared" si="47"/>
        <v>1.6 i</v>
      </c>
      <c r="E1520" t="s">
        <v>26</v>
      </c>
      <c r="F1520">
        <v>198501</v>
      </c>
      <c r="G1520">
        <v>199012</v>
      </c>
      <c r="H1520">
        <v>88</v>
      </c>
      <c r="I1520">
        <v>120</v>
      </c>
      <c r="J1520">
        <v>1590</v>
      </c>
      <c r="K1520">
        <v>4906484</v>
      </c>
      <c r="L1520" t="s">
        <v>449</v>
      </c>
      <c r="M1520" t="str">
        <f>"K11847"</f>
        <v>K11847</v>
      </c>
      <c r="N1520" t="str">
        <f>"K11847"</f>
        <v>K11847</v>
      </c>
      <c r="O1520" t="str">
        <f>""</f>
        <v/>
      </c>
      <c r="P1520" t="s">
        <v>450</v>
      </c>
      <c r="Q1520" t="str">
        <f>"8435392014229"</f>
        <v>8435392014229</v>
      </c>
      <c r="R1520" t="s">
        <v>451</v>
      </c>
      <c r="S1520" t="s">
        <v>454</v>
      </c>
      <c r="T1520" s="1" t="s">
        <v>452</v>
      </c>
      <c r="U1520">
        <v>191</v>
      </c>
      <c r="V1520" t="s">
        <v>450</v>
      </c>
      <c r="W1520" t="s">
        <v>453</v>
      </c>
      <c r="X1520" t="s">
        <v>211</v>
      </c>
    </row>
    <row r="1521" spans="1:25">
      <c r="A1521">
        <v>13531</v>
      </c>
      <c r="B1521" t="s">
        <v>25</v>
      </c>
      <c r="C1521" t="str">
        <f t="shared" si="48"/>
        <v>INTEGRA Saloon</v>
      </c>
      <c r="D1521" t="str">
        <f t="shared" si="47"/>
        <v>1.6 i</v>
      </c>
      <c r="E1521" t="s">
        <v>26</v>
      </c>
      <c r="F1521">
        <v>198501</v>
      </c>
      <c r="G1521">
        <v>199012</v>
      </c>
      <c r="H1521">
        <v>88</v>
      </c>
      <c r="I1521">
        <v>120</v>
      </c>
      <c r="J1521">
        <v>1590</v>
      </c>
      <c r="K1521">
        <v>4898277</v>
      </c>
      <c r="L1521" t="s">
        <v>449</v>
      </c>
      <c r="M1521" t="str">
        <f>"0912"</f>
        <v>0912</v>
      </c>
      <c r="N1521" t="str">
        <f>"0912"</f>
        <v>0912</v>
      </c>
      <c r="O1521" t="str">
        <f>""</f>
        <v/>
      </c>
      <c r="P1521" t="s">
        <v>455</v>
      </c>
      <c r="Q1521" t="str">
        <f>"8435329504960"</f>
        <v>8435329504960</v>
      </c>
      <c r="R1521" t="s">
        <v>456</v>
      </c>
      <c r="T1521" t="s">
        <v>457</v>
      </c>
      <c r="U1521">
        <v>193</v>
      </c>
      <c r="V1521" t="s">
        <v>455</v>
      </c>
      <c r="W1521" t="s">
        <v>453</v>
      </c>
      <c r="X1521" t="s">
        <v>49</v>
      </c>
      <c r="Y1521" t="s">
        <v>50</v>
      </c>
    </row>
    <row r="1522" spans="1:25">
      <c r="A1522">
        <v>13531</v>
      </c>
      <c r="B1522" t="s">
        <v>25</v>
      </c>
      <c r="C1522" t="str">
        <f t="shared" si="48"/>
        <v>INTEGRA Saloon</v>
      </c>
      <c r="D1522" t="str">
        <f t="shared" si="47"/>
        <v>1.6 i</v>
      </c>
      <c r="E1522" t="s">
        <v>26</v>
      </c>
      <c r="F1522">
        <v>198501</v>
      </c>
      <c r="G1522">
        <v>199012</v>
      </c>
      <c r="H1522">
        <v>88</v>
      </c>
      <c r="I1522">
        <v>120</v>
      </c>
      <c r="J1522">
        <v>1590</v>
      </c>
      <c r="K1522">
        <v>4906835</v>
      </c>
      <c r="L1522" t="s">
        <v>449</v>
      </c>
      <c r="M1522" t="str">
        <f>"K912"</f>
        <v>K912</v>
      </c>
      <c r="N1522" t="str">
        <f>"K912"</f>
        <v>K912</v>
      </c>
      <c r="O1522" t="str">
        <f>""</f>
        <v/>
      </c>
      <c r="P1522" t="s">
        <v>455</v>
      </c>
      <c r="Q1522" t="str">
        <f>"8435329556877"</f>
        <v>8435329556877</v>
      </c>
      <c r="R1522" t="s">
        <v>456</v>
      </c>
      <c r="S1522" t="s">
        <v>454</v>
      </c>
      <c r="T1522" t="s">
        <v>457</v>
      </c>
      <c r="U1522">
        <v>193</v>
      </c>
      <c r="V1522" t="s">
        <v>455</v>
      </c>
      <c r="W1522" t="s">
        <v>453</v>
      </c>
      <c r="X1522" t="s">
        <v>49</v>
      </c>
      <c r="Y1522" t="s">
        <v>50</v>
      </c>
    </row>
    <row r="1523" spans="1:25">
      <c r="A1523">
        <v>13531</v>
      </c>
      <c r="B1523" t="s">
        <v>25</v>
      </c>
      <c r="C1523" t="str">
        <f t="shared" si="48"/>
        <v>INTEGRA Saloon</v>
      </c>
      <c r="D1523" t="str">
        <f t="shared" si="47"/>
        <v>1.6 i</v>
      </c>
      <c r="E1523" t="s">
        <v>26</v>
      </c>
      <c r="F1523">
        <v>198501</v>
      </c>
      <c r="G1523">
        <v>199012</v>
      </c>
      <c r="H1523">
        <v>88</v>
      </c>
      <c r="I1523">
        <v>120</v>
      </c>
      <c r="J1523">
        <v>1590</v>
      </c>
      <c r="K1523">
        <v>458543</v>
      </c>
      <c r="L1523" t="s">
        <v>33</v>
      </c>
      <c r="M1523" t="str">
        <f>"J2863004"</f>
        <v>J2863004</v>
      </c>
      <c r="N1523" t="str">
        <f>"J2863004"</f>
        <v>J2863004</v>
      </c>
      <c r="O1523" t="str">
        <f>""</f>
        <v/>
      </c>
      <c r="P1523" t="s">
        <v>458</v>
      </c>
      <c r="Q1523" t="str">
        <f>"8711768047924"</f>
        <v>8711768047924</v>
      </c>
      <c r="R1523" t="s">
        <v>459</v>
      </c>
      <c r="S1523" t="s">
        <v>460</v>
      </c>
      <c r="T1523" s="1" t="s">
        <v>461</v>
      </c>
      <c r="U1523">
        <v>194</v>
      </c>
      <c r="V1523" t="s">
        <v>458</v>
      </c>
      <c r="W1523" t="s">
        <v>462</v>
      </c>
      <c r="X1523" t="s">
        <v>49</v>
      </c>
      <c r="Y1523" t="s">
        <v>50</v>
      </c>
    </row>
    <row r="1524" spans="1:25">
      <c r="A1524">
        <v>13531</v>
      </c>
      <c r="B1524" t="s">
        <v>25</v>
      </c>
      <c r="C1524" t="str">
        <f t="shared" si="48"/>
        <v>INTEGRA Saloon</v>
      </c>
      <c r="D1524" t="str">
        <f t="shared" si="47"/>
        <v>1.6 i</v>
      </c>
      <c r="E1524" t="s">
        <v>26</v>
      </c>
      <c r="F1524">
        <v>198501</v>
      </c>
      <c r="G1524">
        <v>199012</v>
      </c>
      <c r="H1524">
        <v>88</v>
      </c>
      <c r="I1524">
        <v>120</v>
      </c>
      <c r="J1524">
        <v>1590</v>
      </c>
      <c r="K1524">
        <v>459181</v>
      </c>
      <c r="L1524" t="s">
        <v>33</v>
      </c>
      <c r="M1524" t="str">
        <f>"J2884012"</f>
        <v>J2884012</v>
      </c>
      <c r="N1524" t="str">
        <f>"J2884012"</f>
        <v>J2884012</v>
      </c>
      <c r="O1524" t="str">
        <f>""</f>
        <v/>
      </c>
      <c r="P1524" t="s">
        <v>458</v>
      </c>
      <c r="Q1524" t="str">
        <f>"8711768048396"</f>
        <v>8711768048396</v>
      </c>
      <c r="R1524" t="s">
        <v>463</v>
      </c>
      <c r="S1524" t="s">
        <v>464</v>
      </c>
      <c r="T1524" t="s">
        <v>465</v>
      </c>
      <c r="U1524">
        <v>194</v>
      </c>
      <c r="V1524" t="s">
        <v>458</v>
      </c>
      <c r="W1524" t="s">
        <v>462</v>
      </c>
      <c r="X1524" t="s">
        <v>49</v>
      </c>
      <c r="Y1524" t="s">
        <v>50</v>
      </c>
    </row>
    <row r="1525" spans="1:25">
      <c r="A1525">
        <v>13531</v>
      </c>
      <c r="B1525" t="s">
        <v>25</v>
      </c>
      <c r="C1525" t="str">
        <f t="shared" si="48"/>
        <v>INTEGRA Saloon</v>
      </c>
      <c r="D1525" t="str">
        <f t="shared" si="47"/>
        <v>1.6 i</v>
      </c>
      <c r="E1525" t="s">
        <v>26</v>
      </c>
      <c r="F1525">
        <v>198501</v>
      </c>
      <c r="G1525">
        <v>199012</v>
      </c>
      <c r="H1525">
        <v>88</v>
      </c>
      <c r="I1525">
        <v>120</v>
      </c>
      <c r="J1525">
        <v>1590</v>
      </c>
      <c r="K1525">
        <v>3953758</v>
      </c>
      <c r="L1525" t="s">
        <v>27</v>
      </c>
      <c r="M1525" t="str">
        <f>"08582004"</f>
        <v>08582004</v>
      </c>
      <c r="N1525" t="str">
        <f>"0858-2004"</f>
        <v>0858-2004</v>
      </c>
      <c r="O1525" t="str">
        <f>""</f>
        <v/>
      </c>
      <c r="P1525" t="s">
        <v>458</v>
      </c>
      <c r="Q1525" t="str">
        <f>"8718993025789"</f>
        <v>8718993025789</v>
      </c>
      <c r="R1525" t="s">
        <v>466</v>
      </c>
      <c r="S1525" t="s">
        <v>424</v>
      </c>
      <c r="T1525" s="1" t="s">
        <v>1655</v>
      </c>
      <c r="U1525">
        <v>194</v>
      </c>
      <c r="V1525" t="s">
        <v>458</v>
      </c>
      <c r="W1525" t="s">
        <v>462</v>
      </c>
      <c r="X1525" t="s">
        <v>49</v>
      </c>
      <c r="Y1525" t="s">
        <v>50</v>
      </c>
    </row>
    <row r="1526" spans="1:25">
      <c r="A1526">
        <v>13531</v>
      </c>
      <c r="B1526" t="s">
        <v>25</v>
      </c>
      <c r="C1526" t="str">
        <f t="shared" si="48"/>
        <v>INTEGRA Saloon</v>
      </c>
      <c r="D1526" t="str">
        <f t="shared" si="47"/>
        <v>1.6 i</v>
      </c>
      <c r="E1526" t="s">
        <v>26</v>
      </c>
      <c r="F1526">
        <v>198501</v>
      </c>
      <c r="G1526">
        <v>199012</v>
      </c>
      <c r="H1526">
        <v>88</v>
      </c>
      <c r="I1526">
        <v>120</v>
      </c>
      <c r="J1526">
        <v>1590</v>
      </c>
      <c r="K1526">
        <v>3968736</v>
      </c>
      <c r="L1526" t="s">
        <v>27</v>
      </c>
      <c r="M1526" t="str">
        <f>"M16805"</f>
        <v>M16805</v>
      </c>
      <c r="N1526" t="str">
        <f>"M168-05"</f>
        <v>M168-05</v>
      </c>
      <c r="O1526" t="str">
        <f>""</f>
        <v/>
      </c>
      <c r="P1526" t="s">
        <v>458</v>
      </c>
      <c r="Q1526" t="str">
        <f>"8718993277232"</f>
        <v>8718993277232</v>
      </c>
      <c r="R1526" t="s">
        <v>468</v>
      </c>
      <c r="T1526" s="1" t="s">
        <v>469</v>
      </c>
      <c r="U1526">
        <v>194</v>
      </c>
      <c r="V1526" t="s">
        <v>458</v>
      </c>
      <c r="W1526" t="s">
        <v>462</v>
      </c>
      <c r="X1526" t="s">
        <v>49</v>
      </c>
      <c r="Y1526" t="s">
        <v>50</v>
      </c>
    </row>
    <row r="1527" spans="1:25">
      <c r="A1527">
        <v>13531</v>
      </c>
      <c r="B1527" t="s">
        <v>25</v>
      </c>
      <c r="C1527" t="str">
        <f t="shared" si="48"/>
        <v>INTEGRA Saloon</v>
      </c>
      <c r="D1527" t="str">
        <f t="shared" ref="D1527:D1590" si="49">"1.6 i"</f>
        <v>1.6 i</v>
      </c>
      <c r="E1527" t="s">
        <v>26</v>
      </c>
      <c r="F1527">
        <v>198501</v>
      </c>
      <c r="G1527">
        <v>199012</v>
      </c>
      <c r="H1527">
        <v>88</v>
      </c>
      <c r="I1527">
        <v>120</v>
      </c>
      <c r="J1527">
        <v>1590</v>
      </c>
      <c r="K1527">
        <v>4531095</v>
      </c>
      <c r="L1527" t="s">
        <v>59</v>
      </c>
      <c r="M1527" t="str">
        <f>"21990024"</f>
        <v>21990024</v>
      </c>
      <c r="N1527" t="str">
        <f>"21-990024"</f>
        <v>21-990024</v>
      </c>
      <c r="O1527" t="str">
        <f>""</f>
        <v/>
      </c>
      <c r="P1527" t="s">
        <v>458</v>
      </c>
      <c r="Q1527" t="str">
        <f>""</f>
        <v/>
      </c>
      <c r="R1527" t="s">
        <v>470</v>
      </c>
      <c r="S1527" t="s">
        <v>61</v>
      </c>
      <c r="T1527" t="s">
        <v>471</v>
      </c>
      <c r="U1527">
        <v>194</v>
      </c>
      <c r="V1527" t="s">
        <v>458</v>
      </c>
      <c r="W1527" t="s">
        <v>462</v>
      </c>
      <c r="X1527" t="s">
        <v>49</v>
      </c>
      <c r="Y1527" t="s">
        <v>50</v>
      </c>
    </row>
    <row r="1528" spans="1:25">
      <c r="A1528">
        <v>13531</v>
      </c>
      <c r="B1528" t="s">
        <v>25</v>
      </c>
      <c r="C1528" t="str">
        <f t="shared" si="48"/>
        <v>INTEGRA Saloon</v>
      </c>
      <c r="D1528" t="str">
        <f t="shared" si="49"/>
        <v>1.6 i</v>
      </c>
      <c r="E1528" t="s">
        <v>26</v>
      </c>
      <c r="F1528">
        <v>198501</v>
      </c>
      <c r="G1528">
        <v>199012</v>
      </c>
      <c r="H1528">
        <v>88</v>
      </c>
      <c r="I1528">
        <v>120</v>
      </c>
      <c r="J1528">
        <v>1590</v>
      </c>
      <c r="K1528">
        <v>4641729</v>
      </c>
      <c r="L1528" t="s">
        <v>472</v>
      </c>
      <c r="M1528" t="str">
        <f>"G54003PC"</f>
        <v>G54003PC</v>
      </c>
      <c r="N1528" t="str">
        <f>"G54003PC"</f>
        <v>G54003PC</v>
      </c>
      <c r="O1528" t="str">
        <f>""</f>
        <v/>
      </c>
      <c r="P1528" t="s">
        <v>458</v>
      </c>
      <c r="Q1528" t="str">
        <f>""</f>
        <v/>
      </c>
      <c r="R1528" t="s">
        <v>473</v>
      </c>
      <c r="S1528" t="s">
        <v>474</v>
      </c>
      <c r="T1528" s="1" t="s">
        <v>475</v>
      </c>
      <c r="U1528">
        <v>194</v>
      </c>
      <c r="V1528" t="s">
        <v>458</v>
      </c>
      <c r="W1528" t="s">
        <v>462</v>
      </c>
      <c r="X1528" t="s">
        <v>49</v>
      </c>
      <c r="Y1528" t="s">
        <v>50</v>
      </c>
    </row>
    <row r="1529" spans="1:25">
      <c r="A1529">
        <v>13531</v>
      </c>
      <c r="B1529" t="s">
        <v>25</v>
      </c>
      <c r="C1529" t="str">
        <f t="shared" si="48"/>
        <v>INTEGRA Saloon</v>
      </c>
      <c r="D1529" t="str">
        <f t="shared" si="49"/>
        <v>1.6 i</v>
      </c>
      <c r="E1529" t="s">
        <v>26</v>
      </c>
      <c r="F1529">
        <v>198501</v>
      </c>
      <c r="G1529">
        <v>199012</v>
      </c>
      <c r="H1529">
        <v>88</v>
      </c>
      <c r="I1529">
        <v>120</v>
      </c>
      <c r="J1529">
        <v>1590</v>
      </c>
      <c r="K1529">
        <v>3028703</v>
      </c>
      <c r="L1529" t="s">
        <v>33</v>
      </c>
      <c r="M1529" t="str">
        <f>"J2844001"</f>
        <v>J2844001</v>
      </c>
      <c r="N1529" t="str">
        <f>"J2844001"</f>
        <v>J2844001</v>
      </c>
      <c r="O1529" t="str">
        <f>""</f>
        <v/>
      </c>
      <c r="P1529" t="s">
        <v>476</v>
      </c>
      <c r="Q1529" t="str">
        <f>"8711768116781"</f>
        <v>8711768116781</v>
      </c>
      <c r="R1529" t="s">
        <v>451</v>
      </c>
      <c r="S1529" t="s">
        <v>477</v>
      </c>
      <c r="T1529" s="1" t="s">
        <v>1656</v>
      </c>
      <c r="U1529">
        <v>195</v>
      </c>
      <c r="V1529" t="s">
        <v>476</v>
      </c>
      <c r="W1529" t="s">
        <v>462</v>
      </c>
      <c r="X1529" t="s">
        <v>211</v>
      </c>
    </row>
    <row r="1530" spans="1:25">
      <c r="A1530">
        <v>13531</v>
      </c>
      <c r="B1530" t="s">
        <v>25</v>
      </c>
      <c r="C1530" t="str">
        <f t="shared" si="48"/>
        <v>INTEGRA Saloon</v>
      </c>
      <c r="D1530" t="str">
        <f t="shared" si="49"/>
        <v>1.6 i</v>
      </c>
      <c r="E1530" t="s">
        <v>26</v>
      </c>
      <c r="F1530">
        <v>198501</v>
      </c>
      <c r="G1530">
        <v>199012</v>
      </c>
      <c r="H1530">
        <v>88</v>
      </c>
      <c r="I1530">
        <v>120</v>
      </c>
      <c r="J1530">
        <v>1590</v>
      </c>
      <c r="K1530">
        <v>4642241</v>
      </c>
      <c r="L1530" t="s">
        <v>472</v>
      </c>
      <c r="M1530" t="str">
        <f>"I64001PC"</f>
        <v>I64001PC</v>
      </c>
      <c r="N1530" t="str">
        <f>"I64001PC"</f>
        <v>I64001PC</v>
      </c>
      <c r="O1530" t="str">
        <f>""</f>
        <v/>
      </c>
      <c r="P1530" t="s">
        <v>476</v>
      </c>
      <c r="Q1530" t="str">
        <f>""</f>
        <v/>
      </c>
      <c r="R1530" t="s">
        <v>479</v>
      </c>
      <c r="S1530" t="s">
        <v>477</v>
      </c>
      <c r="T1530" s="1" t="s">
        <v>480</v>
      </c>
      <c r="U1530">
        <v>195</v>
      </c>
      <c r="V1530" t="s">
        <v>476</v>
      </c>
      <c r="W1530" t="s">
        <v>462</v>
      </c>
      <c r="X1530" t="s">
        <v>211</v>
      </c>
    </row>
    <row r="1531" spans="1:25">
      <c r="A1531">
        <v>13531</v>
      </c>
      <c r="B1531" t="s">
        <v>25</v>
      </c>
      <c r="C1531" t="str">
        <f t="shared" si="48"/>
        <v>INTEGRA Saloon</v>
      </c>
      <c r="D1531" t="str">
        <f t="shared" si="49"/>
        <v>1.6 i</v>
      </c>
      <c r="E1531" t="s">
        <v>26</v>
      </c>
      <c r="F1531">
        <v>198501</v>
      </c>
      <c r="G1531">
        <v>199012</v>
      </c>
      <c r="H1531">
        <v>88</v>
      </c>
      <c r="I1531">
        <v>120</v>
      </c>
      <c r="J1531">
        <v>1590</v>
      </c>
      <c r="K1531">
        <v>4356676</v>
      </c>
      <c r="L1531" t="s">
        <v>481</v>
      </c>
      <c r="M1531" t="str">
        <f>"2000853"</f>
        <v>2000853</v>
      </c>
      <c r="N1531" t="str">
        <f>"2000853"</f>
        <v>2000853</v>
      </c>
      <c r="O1531" t="str">
        <f>""</f>
        <v/>
      </c>
      <c r="P1531" t="s">
        <v>482</v>
      </c>
      <c r="Q1531" t="str">
        <f>"8435281031511"</f>
        <v>8435281031511</v>
      </c>
      <c r="R1531" t="s">
        <v>483</v>
      </c>
      <c r="T1531" t="s">
        <v>484</v>
      </c>
      <c r="U1531">
        <v>219</v>
      </c>
      <c r="V1531" t="s">
        <v>482</v>
      </c>
      <c r="W1531" t="s">
        <v>485</v>
      </c>
      <c r="X1531" t="s">
        <v>486</v>
      </c>
      <c r="Y1531" t="s">
        <v>487</v>
      </c>
    </row>
    <row r="1532" spans="1:25">
      <c r="A1532">
        <v>13531</v>
      </c>
      <c r="B1532" t="s">
        <v>25</v>
      </c>
      <c r="C1532" t="str">
        <f t="shared" si="48"/>
        <v>INTEGRA Saloon</v>
      </c>
      <c r="D1532" t="str">
        <f t="shared" si="49"/>
        <v>1.6 i</v>
      </c>
      <c r="E1532" t="s">
        <v>26</v>
      </c>
      <c r="F1532">
        <v>198501</v>
      </c>
      <c r="G1532">
        <v>199012</v>
      </c>
      <c r="H1532">
        <v>88</v>
      </c>
      <c r="I1532">
        <v>120</v>
      </c>
      <c r="J1532">
        <v>1590</v>
      </c>
      <c r="K1532">
        <v>700319</v>
      </c>
      <c r="L1532" t="s">
        <v>46</v>
      </c>
      <c r="M1532" t="str">
        <f>"AC1001"</f>
        <v>AC1001</v>
      </c>
      <c r="N1532" t="str">
        <f>"AC1001"</f>
        <v>AC1001</v>
      </c>
      <c r="O1532" t="str">
        <f>""</f>
        <v/>
      </c>
      <c r="P1532" t="s">
        <v>488</v>
      </c>
      <c r="Q1532" t="str">
        <f>""</f>
        <v/>
      </c>
      <c r="U1532">
        <v>236</v>
      </c>
      <c r="V1532" t="s">
        <v>488</v>
      </c>
      <c r="W1532" t="s">
        <v>210</v>
      </c>
      <c r="X1532" t="s">
        <v>49</v>
      </c>
      <c r="Y1532" t="s">
        <v>50</v>
      </c>
    </row>
    <row r="1533" spans="1:25">
      <c r="A1533">
        <v>13531</v>
      </c>
      <c r="B1533" t="s">
        <v>25</v>
      </c>
      <c r="C1533" t="str">
        <f t="shared" si="48"/>
        <v>INTEGRA Saloon</v>
      </c>
      <c r="D1533" t="str">
        <f t="shared" si="49"/>
        <v>1.6 i</v>
      </c>
      <c r="E1533" t="s">
        <v>26</v>
      </c>
      <c r="F1533">
        <v>198501</v>
      </c>
      <c r="G1533">
        <v>199012</v>
      </c>
      <c r="H1533">
        <v>88</v>
      </c>
      <c r="I1533">
        <v>120</v>
      </c>
      <c r="J1533">
        <v>1590</v>
      </c>
      <c r="K1533">
        <v>700321</v>
      </c>
      <c r="L1533" t="s">
        <v>46</v>
      </c>
      <c r="M1533" t="str">
        <f>"AC1002"</f>
        <v>AC1002</v>
      </c>
      <c r="N1533" t="str">
        <f>"AC1002"</f>
        <v>AC1002</v>
      </c>
      <c r="O1533" t="str">
        <f>""</f>
        <v/>
      </c>
      <c r="P1533" t="s">
        <v>488</v>
      </c>
      <c r="Q1533" t="str">
        <f>""</f>
        <v/>
      </c>
      <c r="U1533">
        <v>236</v>
      </c>
      <c r="V1533" t="s">
        <v>488</v>
      </c>
      <c r="W1533" t="s">
        <v>210</v>
      </c>
      <c r="X1533" t="s">
        <v>49</v>
      </c>
      <c r="Y1533" t="s">
        <v>50</v>
      </c>
    </row>
    <row r="1534" spans="1:25">
      <c r="A1534">
        <v>13531</v>
      </c>
      <c r="B1534" t="s">
        <v>25</v>
      </c>
      <c r="C1534" t="str">
        <f t="shared" si="48"/>
        <v>INTEGRA Saloon</v>
      </c>
      <c r="D1534" t="str">
        <f t="shared" si="49"/>
        <v>1.6 i</v>
      </c>
      <c r="E1534" t="s">
        <v>26</v>
      </c>
      <c r="F1534">
        <v>198501</v>
      </c>
      <c r="G1534">
        <v>199012</v>
      </c>
      <c r="H1534">
        <v>88</v>
      </c>
      <c r="I1534">
        <v>120</v>
      </c>
      <c r="J1534">
        <v>1590</v>
      </c>
      <c r="K1534">
        <v>2292899</v>
      </c>
      <c r="L1534" t="s">
        <v>489</v>
      </c>
      <c r="M1534" t="str">
        <f>"DRC43001"</f>
        <v>DRC43001</v>
      </c>
      <c r="N1534" t="str">
        <f>"DRC43001"</f>
        <v>DRC43001</v>
      </c>
      <c r="O1534" t="str">
        <f>""</f>
        <v/>
      </c>
      <c r="P1534" t="s">
        <v>488</v>
      </c>
      <c r="Q1534" t="str">
        <f>""</f>
        <v/>
      </c>
      <c r="U1534">
        <v>236</v>
      </c>
      <c r="V1534" t="s">
        <v>488</v>
      </c>
      <c r="W1534" t="s">
        <v>210</v>
      </c>
      <c r="X1534" t="s">
        <v>49</v>
      </c>
      <c r="Y1534" t="s">
        <v>50</v>
      </c>
    </row>
    <row r="1535" spans="1:25">
      <c r="A1535">
        <v>13531</v>
      </c>
      <c r="B1535" t="s">
        <v>25</v>
      </c>
      <c r="C1535" t="str">
        <f t="shared" si="48"/>
        <v>INTEGRA Saloon</v>
      </c>
      <c r="D1535" t="str">
        <f t="shared" si="49"/>
        <v>1.6 i</v>
      </c>
      <c r="E1535" t="s">
        <v>26</v>
      </c>
      <c r="F1535">
        <v>198501</v>
      </c>
      <c r="G1535">
        <v>199012</v>
      </c>
      <c r="H1535">
        <v>88</v>
      </c>
      <c r="I1535">
        <v>120</v>
      </c>
      <c r="J1535">
        <v>1590</v>
      </c>
      <c r="K1535">
        <v>2292900</v>
      </c>
      <c r="L1535" t="s">
        <v>489</v>
      </c>
      <c r="M1535" t="str">
        <f>"DRC43001K"</f>
        <v>DRC43001K</v>
      </c>
      <c r="N1535" t="str">
        <f>"DRC43001K"</f>
        <v>DRC43001K</v>
      </c>
      <c r="O1535" t="str">
        <f>""</f>
        <v/>
      </c>
      <c r="P1535" t="s">
        <v>488</v>
      </c>
      <c r="Q1535" t="str">
        <f>""</f>
        <v/>
      </c>
      <c r="U1535">
        <v>236</v>
      </c>
      <c r="V1535" t="s">
        <v>488</v>
      </c>
      <c r="W1535" t="s">
        <v>210</v>
      </c>
      <c r="X1535" t="s">
        <v>49</v>
      </c>
      <c r="Y1535" t="s">
        <v>50</v>
      </c>
    </row>
    <row r="1536" spans="1:25">
      <c r="A1536">
        <v>13531</v>
      </c>
      <c r="B1536" t="s">
        <v>25</v>
      </c>
      <c r="C1536" t="str">
        <f t="shared" si="48"/>
        <v>INTEGRA Saloon</v>
      </c>
      <c r="D1536" t="str">
        <f t="shared" si="49"/>
        <v>1.6 i</v>
      </c>
      <c r="E1536" t="s">
        <v>26</v>
      </c>
      <c r="F1536">
        <v>198501</v>
      </c>
      <c r="G1536">
        <v>199012</v>
      </c>
      <c r="H1536">
        <v>88</v>
      </c>
      <c r="I1536">
        <v>120</v>
      </c>
      <c r="J1536">
        <v>1590</v>
      </c>
      <c r="K1536">
        <v>2292901</v>
      </c>
      <c r="L1536" t="s">
        <v>489</v>
      </c>
      <c r="M1536" t="str">
        <f>"DRC43002"</f>
        <v>DRC43002</v>
      </c>
      <c r="N1536" t="str">
        <f>"DRC43002"</f>
        <v>DRC43002</v>
      </c>
      <c r="O1536" t="str">
        <f>""</f>
        <v/>
      </c>
      <c r="P1536" t="s">
        <v>488</v>
      </c>
      <c r="Q1536" t="str">
        <f>""</f>
        <v/>
      </c>
      <c r="U1536">
        <v>236</v>
      </c>
      <c r="V1536" t="s">
        <v>488</v>
      </c>
      <c r="W1536" t="s">
        <v>210</v>
      </c>
      <c r="X1536" t="s">
        <v>49</v>
      </c>
      <c r="Y1536" t="s">
        <v>50</v>
      </c>
    </row>
    <row r="1537" spans="1:25">
      <c r="A1537">
        <v>13531</v>
      </c>
      <c r="B1537" t="s">
        <v>25</v>
      </c>
      <c r="C1537" t="str">
        <f t="shared" si="48"/>
        <v>INTEGRA Saloon</v>
      </c>
      <c r="D1537" t="str">
        <f t="shared" si="49"/>
        <v>1.6 i</v>
      </c>
      <c r="E1537" t="s">
        <v>26</v>
      </c>
      <c r="F1537">
        <v>198501</v>
      </c>
      <c r="G1537">
        <v>199012</v>
      </c>
      <c r="H1537">
        <v>88</v>
      </c>
      <c r="I1537">
        <v>120</v>
      </c>
      <c r="J1537">
        <v>1590</v>
      </c>
      <c r="K1537">
        <v>2292902</v>
      </c>
      <c r="L1537" t="s">
        <v>489</v>
      </c>
      <c r="M1537" t="str">
        <f>"DRC43002K"</f>
        <v>DRC43002K</v>
      </c>
      <c r="N1537" t="str">
        <f>"DRC43002K"</f>
        <v>DRC43002K</v>
      </c>
      <c r="O1537" t="str">
        <f>""</f>
        <v/>
      </c>
      <c r="P1537" t="s">
        <v>488</v>
      </c>
      <c r="Q1537" t="str">
        <f>""</f>
        <v/>
      </c>
      <c r="U1537">
        <v>236</v>
      </c>
      <c r="V1537" t="s">
        <v>488</v>
      </c>
      <c r="W1537" t="s">
        <v>210</v>
      </c>
      <c r="X1537" t="s">
        <v>49</v>
      </c>
      <c r="Y1537" t="s">
        <v>50</v>
      </c>
    </row>
    <row r="1538" spans="1:25">
      <c r="A1538">
        <v>13531</v>
      </c>
      <c r="B1538" t="s">
        <v>25</v>
      </c>
      <c r="C1538" t="str">
        <f t="shared" ref="C1538:C1601" si="50">"INTEGRA Saloon"</f>
        <v>INTEGRA Saloon</v>
      </c>
      <c r="D1538" t="str">
        <f t="shared" si="49"/>
        <v>1.6 i</v>
      </c>
      <c r="E1538" t="s">
        <v>26</v>
      </c>
      <c r="F1538">
        <v>198501</v>
      </c>
      <c r="G1538">
        <v>199012</v>
      </c>
      <c r="H1538">
        <v>88</v>
      </c>
      <c r="I1538">
        <v>120</v>
      </c>
      <c r="J1538">
        <v>1590</v>
      </c>
      <c r="K1538">
        <v>4641301</v>
      </c>
      <c r="L1538" t="s">
        <v>472</v>
      </c>
      <c r="M1538" t="str">
        <f>"G14006PC"</f>
        <v>G14006PC</v>
      </c>
      <c r="N1538" t="str">
        <f>"G14006PC"</f>
        <v>G14006PC</v>
      </c>
      <c r="O1538" t="str">
        <f>""</f>
        <v/>
      </c>
      <c r="P1538" t="s">
        <v>488</v>
      </c>
      <c r="Q1538" t="str">
        <f>""</f>
        <v/>
      </c>
      <c r="R1538" t="s">
        <v>490</v>
      </c>
      <c r="S1538" t="s">
        <v>491</v>
      </c>
      <c r="T1538" s="1" t="s">
        <v>492</v>
      </c>
      <c r="U1538">
        <v>236</v>
      </c>
      <c r="V1538" t="s">
        <v>488</v>
      </c>
      <c r="W1538" t="s">
        <v>210</v>
      </c>
      <c r="X1538" t="s">
        <v>49</v>
      </c>
      <c r="Y1538" t="s">
        <v>50</v>
      </c>
    </row>
    <row r="1539" spans="1:25">
      <c r="A1539">
        <v>13531</v>
      </c>
      <c r="B1539" t="s">
        <v>25</v>
      </c>
      <c r="C1539" t="str">
        <f t="shared" si="50"/>
        <v>INTEGRA Saloon</v>
      </c>
      <c r="D1539" t="str">
        <f t="shared" si="49"/>
        <v>1.6 i</v>
      </c>
      <c r="E1539" t="s">
        <v>26</v>
      </c>
      <c r="F1539">
        <v>198501</v>
      </c>
      <c r="G1539">
        <v>199012</v>
      </c>
      <c r="H1539">
        <v>88</v>
      </c>
      <c r="I1539">
        <v>120</v>
      </c>
      <c r="J1539">
        <v>1590</v>
      </c>
      <c r="K1539">
        <v>3031448</v>
      </c>
      <c r="L1539" t="s">
        <v>33</v>
      </c>
      <c r="M1539" t="str">
        <f>"J4234024"</f>
        <v>J4234024</v>
      </c>
      <c r="N1539" t="str">
        <f>"J4234024"</f>
        <v>J4234024</v>
      </c>
      <c r="O1539" t="str">
        <f>""</f>
        <v/>
      </c>
      <c r="P1539" t="s">
        <v>493</v>
      </c>
      <c r="Q1539" t="str">
        <f>"8711768051426"</f>
        <v>8711768051426</v>
      </c>
      <c r="S1539" t="s">
        <v>494</v>
      </c>
      <c r="T1539" t="s">
        <v>495</v>
      </c>
      <c r="U1539">
        <v>251</v>
      </c>
      <c r="V1539" t="s">
        <v>493</v>
      </c>
      <c r="W1539" t="s">
        <v>496</v>
      </c>
      <c r="X1539" t="s">
        <v>497</v>
      </c>
      <c r="Y1539" t="s">
        <v>498</v>
      </c>
    </row>
    <row r="1540" spans="1:25">
      <c r="A1540">
        <v>13531</v>
      </c>
      <c r="B1540" t="s">
        <v>25</v>
      </c>
      <c r="C1540" t="str">
        <f t="shared" si="50"/>
        <v>INTEGRA Saloon</v>
      </c>
      <c r="D1540" t="str">
        <f t="shared" si="49"/>
        <v>1.6 i</v>
      </c>
      <c r="E1540" t="s">
        <v>26</v>
      </c>
      <c r="F1540">
        <v>198501</v>
      </c>
      <c r="G1540">
        <v>199012</v>
      </c>
      <c r="H1540">
        <v>88</v>
      </c>
      <c r="I1540">
        <v>120</v>
      </c>
      <c r="J1540">
        <v>1590</v>
      </c>
      <c r="K1540">
        <v>3031449</v>
      </c>
      <c r="L1540" t="s">
        <v>33</v>
      </c>
      <c r="M1540" t="str">
        <f>"J4234025"</f>
        <v>J4234025</v>
      </c>
      <c r="N1540" t="str">
        <f>"J4234025"</f>
        <v>J4234025</v>
      </c>
      <c r="O1540" t="str">
        <f>""</f>
        <v/>
      </c>
      <c r="P1540" t="s">
        <v>493</v>
      </c>
      <c r="Q1540" t="str">
        <f>"8711768069995"</f>
        <v>8711768069995</v>
      </c>
      <c r="S1540" t="s">
        <v>499</v>
      </c>
      <c r="T1540" t="s">
        <v>500</v>
      </c>
      <c r="U1540">
        <v>251</v>
      </c>
      <c r="V1540" t="s">
        <v>493</v>
      </c>
      <c r="W1540" t="s">
        <v>496</v>
      </c>
      <c r="X1540" t="s">
        <v>497</v>
      </c>
      <c r="Y1540" t="s">
        <v>498</v>
      </c>
    </row>
    <row r="1541" spans="1:25">
      <c r="A1541">
        <v>13531</v>
      </c>
      <c r="B1541" t="s">
        <v>25</v>
      </c>
      <c r="C1541" t="str">
        <f t="shared" si="50"/>
        <v>INTEGRA Saloon</v>
      </c>
      <c r="D1541" t="str">
        <f t="shared" si="49"/>
        <v>1.6 i</v>
      </c>
      <c r="E1541" t="s">
        <v>26</v>
      </c>
      <c r="F1541">
        <v>198501</v>
      </c>
      <c r="G1541">
        <v>199012</v>
      </c>
      <c r="H1541">
        <v>88</v>
      </c>
      <c r="I1541">
        <v>120</v>
      </c>
      <c r="J1541">
        <v>1590</v>
      </c>
      <c r="K1541">
        <v>3683880</v>
      </c>
      <c r="L1541" t="s">
        <v>501</v>
      </c>
      <c r="M1541" t="str">
        <f>"514969"</f>
        <v>514969</v>
      </c>
      <c r="N1541" t="str">
        <f>"514969"</f>
        <v>514969</v>
      </c>
      <c r="O1541" t="str">
        <f>""</f>
        <v/>
      </c>
      <c r="P1541" t="s">
        <v>493</v>
      </c>
      <c r="Q1541" t="str">
        <f>""</f>
        <v/>
      </c>
      <c r="R1541" t="s">
        <v>502</v>
      </c>
      <c r="T1541" t="s">
        <v>503</v>
      </c>
      <c r="U1541">
        <v>251</v>
      </c>
      <c r="V1541" t="s">
        <v>493</v>
      </c>
      <c r="W1541" t="s">
        <v>496</v>
      </c>
      <c r="X1541" t="s">
        <v>497</v>
      </c>
      <c r="Y1541" t="s">
        <v>498</v>
      </c>
    </row>
    <row r="1542" spans="1:25">
      <c r="A1542">
        <v>13531</v>
      </c>
      <c r="B1542" t="s">
        <v>25</v>
      </c>
      <c r="C1542" t="str">
        <f t="shared" si="50"/>
        <v>INTEGRA Saloon</v>
      </c>
      <c r="D1542" t="str">
        <f t="shared" si="49"/>
        <v>1.6 i</v>
      </c>
      <c r="E1542" t="s">
        <v>26</v>
      </c>
      <c r="F1542">
        <v>198501</v>
      </c>
      <c r="G1542">
        <v>199012</v>
      </c>
      <c r="H1542">
        <v>88</v>
      </c>
      <c r="I1542">
        <v>120</v>
      </c>
      <c r="J1542">
        <v>1590</v>
      </c>
      <c r="K1542">
        <v>4239591</v>
      </c>
      <c r="L1542" t="s">
        <v>504</v>
      </c>
      <c r="M1542" t="str">
        <f>"J44002AYMT"</f>
        <v>J44002AYMT</v>
      </c>
      <c r="N1542" t="str">
        <f>"J44002AYMT"</f>
        <v>J44002AYMT</v>
      </c>
      <c r="O1542" t="str">
        <f>""</f>
        <v/>
      </c>
      <c r="P1542" t="s">
        <v>493</v>
      </c>
      <c r="Q1542" t="str">
        <f>""</f>
        <v/>
      </c>
      <c r="S1542" t="s">
        <v>505</v>
      </c>
      <c r="T1542" t="s">
        <v>506</v>
      </c>
      <c r="U1542">
        <v>251</v>
      </c>
      <c r="V1542" t="s">
        <v>493</v>
      </c>
      <c r="W1542" t="s">
        <v>496</v>
      </c>
      <c r="X1542" t="s">
        <v>497</v>
      </c>
      <c r="Y1542" t="s">
        <v>498</v>
      </c>
    </row>
    <row r="1543" spans="1:25">
      <c r="A1543">
        <v>13531</v>
      </c>
      <c r="B1543" t="s">
        <v>25</v>
      </c>
      <c r="C1543" t="str">
        <f t="shared" si="50"/>
        <v>INTEGRA Saloon</v>
      </c>
      <c r="D1543" t="str">
        <f t="shared" si="49"/>
        <v>1.6 i</v>
      </c>
      <c r="E1543" t="s">
        <v>26</v>
      </c>
      <c r="F1543">
        <v>198501</v>
      </c>
      <c r="G1543">
        <v>199012</v>
      </c>
      <c r="H1543">
        <v>88</v>
      </c>
      <c r="I1543">
        <v>120</v>
      </c>
      <c r="J1543">
        <v>1590</v>
      </c>
      <c r="K1543">
        <v>4407796</v>
      </c>
      <c r="L1543" t="s">
        <v>507</v>
      </c>
      <c r="M1543" t="str">
        <f>"8737048SX"</f>
        <v>8737048SX</v>
      </c>
      <c r="N1543" t="str">
        <f>"87-37048-SX"</f>
        <v>87-37048-SX</v>
      </c>
      <c r="O1543" t="str">
        <f>""</f>
        <v/>
      </c>
      <c r="P1543" t="s">
        <v>493</v>
      </c>
      <c r="Q1543" t="str">
        <f>""</f>
        <v/>
      </c>
      <c r="R1543" t="s">
        <v>508</v>
      </c>
      <c r="T1543" t="s">
        <v>509</v>
      </c>
      <c r="U1543">
        <v>251</v>
      </c>
      <c r="V1543" t="s">
        <v>493</v>
      </c>
      <c r="W1543" t="s">
        <v>496</v>
      </c>
      <c r="X1543" t="s">
        <v>497</v>
      </c>
      <c r="Y1543" t="s">
        <v>498</v>
      </c>
    </row>
    <row r="1544" spans="1:25">
      <c r="A1544">
        <v>13531</v>
      </c>
      <c r="B1544" t="s">
        <v>25</v>
      </c>
      <c r="C1544" t="str">
        <f t="shared" si="50"/>
        <v>INTEGRA Saloon</v>
      </c>
      <c r="D1544" t="str">
        <f t="shared" si="49"/>
        <v>1.6 i</v>
      </c>
      <c r="E1544" t="s">
        <v>26</v>
      </c>
      <c r="F1544">
        <v>198501</v>
      </c>
      <c r="G1544">
        <v>199012</v>
      </c>
      <c r="H1544">
        <v>88</v>
      </c>
      <c r="I1544">
        <v>120</v>
      </c>
      <c r="J1544">
        <v>1590</v>
      </c>
      <c r="K1544">
        <v>1893710</v>
      </c>
      <c r="L1544" t="s">
        <v>231</v>
      </c>
      <c r="M1544" t="str">
        <f>"M28007"</f>
        <v>M28007</v>
      </c>
      <c r="N1544" t="str">
        <f>"M 28 007"</f>
        <v>M 28 007</v>
      </c>
      <c r="O1544" t="str">
        <f>""</f>
        <v/>
      </c>
      <c r="P1544" t="s">
        <v>510</v>
      </c>
      <c r="Q1544" t="str">
        <f>"8432509609736"</f>
        <v>8432509609736</v>
      </c>
      <c r="R1544" t="s">
        <v>515</v>
      </c>
      <c r="S1544" t="s">
        <v>516</v>
      </c>
      <c r="T1544" t="s">
        <v>517</v>
      </c>
      <c r="U1544">
        <v>258</v>
      </c>
      <c r="V1544" t="s">
        <v>510</v>
      </c>
      <c r="W1544" t="s">
        <v>514</v>
      </c>
      <c r="X1544" t="s">
        <v>224</v>
      </c>
      <c r="Y1544" t="s">
        <v>510</v>
      </c>
    </row>
    <row r="1545" spans="1:25">
      <c r="A1545">
        <v>13531</v>
      </c>
      <c r="B1545" t="s">
        <v>25</v>
      </c>
      <c r="C1545" t="str">
        <f t="shared" si="50"/>
        <v>INTEGRA Saloon</v>
      </c>
      <c r="D1545" t="str">
        <f t="shared" si="49"/>
        <v>1.6 i</v>
      </c>
      <c r="E1545" t="s">
        <v>26</v>
      </c>
      <c r="F1545">
        <v>198501</v>
      </c>
      <c r="G1545">
        <v>199012</v>
      </c>
      <c r="H1545">
        <v>88</v>
      </c>
      <c r="I1545">
        <v>120</v>
      </c>
      <c r="J1545">
        <v>1590</v>
      </c>
      <c r="K1545">
        <v>2021367</v>
      </c>
      <c r="L1545" t="s">
        <v>518</v>
      </c>
      <c r="M1545" t="str">
        <f>"LM60607"</f>
        <v>LM60607</v>
      </c>
      <c r="N1545" t="str">
        <f>"LM60607"</f>
        <v>LM60607</v>
      </c>
      <c r="O1545" t="str">
        <f>""</f>
        <v/>
      </c>
      <c r="P1545" t="s">
        <v>510</v>
      </c>
      <c r="Q1545" t="str">
        <f>"5012759813850"</f>
        <v>5012759813850</v>
      </c>
      <c r="R1545" t="s">
        <v>519</v>
      </c>
      <c r="S1545" t="s">
        <v>520</v>
      </c>
      <c r="T1545" s="1" t="s">
        <v>521</v>
      </c>
      <c r="U1545">
        <v>258</v>
      </c>
      <c r="V1545" t="s">
        <v>510</v>
      </c>
      <c r="W1545" t="s">
        <v>514</v>
      </c>
      <c r="X1545" t="s">
        <v>224</v>
      </c>
      <c r="Y1545" t="s">
        <v>510</v>
      </c>
    </row>
    <row r="1546" spans="1:25">
      <c r="A1546">
        <v>13531</v>
      </c>
      <c r="B1546" t="s">
        <v>25</v>
      </c>
      <c r="C1546" t="str">
        <f t="shared" si="50"/>
        <v>INTEGRA Saloon</v>
      </c>
      <c r="D1546" t="str">
        <f t="shared" si="49"/>
        <v>1.6 i</v>
      </c>
      <c r="E1546" t="s">
        <v>26</v>
      </c>
      <c r="F1546">
        <v>198501</v>
      </c>
      <c r="G1546">
        <v>199012</v>
      </c>
      <c r="H1546">
        <v>88</v>
      </c>
      <c r="I1546">
        <v>120</v>
      </c>
      <c r="J1546">
        <v>1590</v>
      </c>
      <c r="K1546">
        <v>2787244</v>
      </c>
      <c r="L1546" t="s">
        <v>236</v>
      </c>
      <c r="M1546" t="str">
        <f>"1614"</f>
        <v>1614</v>
      </c>
      <c r="N1546" t="str">
        <f>"1614"</f>
        <v>1614</v>
      </c>
      <c r="O1546" t="str">
        <f>"P21660"</f>
        <v>P21660</v>
      </c>
      <c r="P1546" t="s">
        <v>510</v>
      </c>
      <c r="Q1546" t="str">
        <f>"8032532022504"</f>
        <v>8032532022504</v>
      </c>
      <c r="R1546" t="s">
        <v>522</v>
      </c>
      <c r="S1546" t="s">
        <v>516</v>
      </c>
      <c r="T1546" s="1" t="s">
        <v>523</v>
      </c>
      <c r="U1546">
        <v>258</v>
      </c>
      <c r="V1546" t="s">
        <v>510</v>
      </c>
      <c r="W1546" t="s">
        <v>514</v>
      </c>
      <c r="X1546" t="s">
        <v>224</v>
      </c>
      <c r="Y1546" t="s">
        <v>510</v>
      </c>
    </row>
    <row r="1547" spans="1:25">
      <c r="A1547">
        <v>13531</v>
      </c>
      <c r="B1547" t="s">
        <v>25</v>
      </c>
      <c r="C1547" t="str">
        <f t="shared" si="50"/>
        <v>INTEGRA Saloon</v>
      </c>
      <c r="D1547" t="str">
        <f t="shared" si="49"/>
        <v>1.6 i</v>
      </c>
      <c r="E1547" t="s">
        <v>26</v>
      </c>
      <c r="F1547">
        <v>198501</v>
      </c>
      <c r="G1547">
        <v>199012</v>
      </c>
      <c r="H1547">
        <v>88</v>
      </c>
      <c r="I1547">
        <v>120</v>
      </c>
      <c r="J1547">
        <v>1590</v>
      </c>
      <c r="K1547">
        <v>3246802</v>
      </c>
      <c r="L1547" t="s">
        <v>199</v>
      </c>
      <c r="M1547" t="str">
        <f>"B1614"</f>
        <v>B1614</v>
      </c>
      <c r="N1547" t="str">
        <f>"B1614"</f>
        <v>B1614</v>
      </c>
      <c r="O1547" t="str">
        <f>""</f>
        <v/>
      </c>
      <c r="P1547" t="s">
        <v>510</v>
      </c>
      <c r="Q1547" t="str">
        <f>""</f>
        <v/>
      </c>
      <c r="R1547" t="s">
        <v>528</v>
      </c>
      <c r="S1547" t="s">
        <v>516</v>
      </c>
      <c r="T1547" s="1" t="s">
        <v>529</v>
      </c>
      <c r="U1547">
        <v>258</v>
      </c>
      <c r="V1547" t="s">
        <v>510</v>
      </c>
      <c r="W1547" t="s">
        <v>514</v>
      </c>
      <c r="X1547" t="s">
        <v>224</v>
      </c>
      <c r="Y1547" t="s">
        <v>510</v>
      </c>
    </row>
    <row r="1548" spans="1:25">
      <c r="A1548">
        <v>13531</v>
      </c>
      <c r="B1548" t="s">
        <v>25</v>
      </c>
      <c r="C1548" t="str">
        <f t="shared" si="50"/>
        <v>INTEGRA Saloon</v>
      </c>
      <c r="D1548" t="str">
        <f t="shared" si="49"/>
        <v>1.6 i</v>
      </c>
      <c r="E1548" t="s">
        <v>26</v>
      </c>
      <c r="F1548">
        <v>198501</v>
      </c>
      <c r="G1548">
        <v>199012</v>
      </c>
      <c r="H1548">
        <v>88</v>
      </c>
      <c r="I1548">
        <v>120</v>
      </c>
      <c r="J1548">
        <v>1590</v>
      </c>
      <c r="K1548">
        <v>4268539</v>
      </c>
      <c r="L1548" t="s">
        <v>436</v>
      </c>
      <c r="M1548" t="str">
        <f>"AM1004"</f>
        <v>AM1004</v>
      </c>
      <c r="N1548" t="str">
        <f>"AM1004"</f>
        <v>AM1004</v>
      </c>
      <c r="O1548" t="str">
        <f>""</f>
        <v/>
      </c>
      <c r="P1548" t="s">
        <v>510</v>
      </c>
      <c r="Q1548" t="str">
        <f>""</f>
        <v/>
      </c>
      <c r="R1548" t="s">
        <v>533</v>
      </c>
      <c r="T1548" s="1" t="s">
        <v>534</v>
      </c>
      <c r="U1548">
        <v>258</v>
      </c>
      <c r="V1548" t="s">
        <v>510</v>
      </c>
      <c r="W1548" t="s">
        <v>514</v>
      </c>
      <c r="X1548" t="s">
        <v>224</v>
      </c>
      <c r="Y1548" t="s">
        <v>510</v>
      </c>
    </row>
    <row r="1549" spans="1:25">
      <c r="A1549">
        <v>13531</v>
      </c>
      <c r="B1549" t="s">
        <v>25</v>
      </c>
      <c r="C1549" t="str">
        <f t="shared" si="50"/>
        <v>INTEGRA Saloon</v>
      </c>
      <c r="D1549" t="str">
        <f t="shared" si="49"/>
        <v>1.6 i</v>
      </c>
      <c r="E1549" t="s">
        <v>26</v>
      </c>
      <c r="F1549">
        <v>198501</v>
      </c>
      <c r="G1549">
        <v>199012</v>
      </c>
      <c r="H1549">
        <v>88</v>
      </c>
      <c r="I1549">
        <v>120</v>
      </c>
      <c r="J1549">
        <v>1590</v>
      </c>
      <c r="K1549">
        <v>3032849</v>
      </c>
      <c r="L1549" t="s">
        <v>33</v>
      </c>
      <c r="M1549" t="str">
        <f>"J4904003"</f>
        <v>J4904003</v>
      </c>
      <c r="N1549" t="str">
        <f>"J4904003"</f>
        <v>J4904003</v>
      </c>
      <c r="O1549" t="str">
        <f>""</f>
        <v/>
      </c>
      <c r="P1549" t="s">
        <v>535</v>
      </c>
      <c r="Q1549" t="str">
        <f>"8711768099503"</f>
        <v>8711768099503</v>
      </c>
      <c r="R1549" t="s">
        <v>536</v>
      </c>
      <c r="S1549" t="s">
        <v>537</v>
      </c>
      <c r="T1549" s="1" t="s">
        <v>538</v>
      </c>
      <c r="U1549">
        <v>273</v>
      </c>
      <c r="V1549" t="s">
        <v>535</v>
      </c>
      <c r="W1549" t="s">
        <v>498</v>
      </c>
      <c r="X1549" t="s">
        <v>497</v>
      </c>
    </row>
    <row r="1550" spans="1:25">
      <c r="A1550">
        <v>13531</v>
      </c>
      <c r="B1550" t="s">
        <v>25</v>
      </c>
      <c r="C1550" t="str">
        <f t="shared" si="50"/>
        <v>INTEGRA Saloon</v>
      </c>
      <c r="D1550" t="str">
        <f t="shared" si="49"/>
        <v>1.6 i</v>
      </c>
      <c r="E1550" t="s">
        <v>26</v>
      </c>
      <c r="F1550">
        <v>198501</v>
      </c>
      <c r="G1550">
        <v>199012</v>
      </c>
      <c r="H1550">
        <v>88</v>
      </c>
      <c r="I1550">
        <v>120</v>
      </c>
      <c r="J1550">
        <v>1590</v>
      </c>
      <c r="K1550">
        <v>3033017</v>
      </c>
      <c r="L1550" t="s">
        <v>33</v>
      </c>
      <c r="M1550" t="str">
        <f>"J4914003"</f>
        <v>J4914003</v>
      </c>
      <c r="N1550" t="str">
        <f>"J4914003"</f>
        <v>J4914003</v>
      </c>
      <c r="O1550" t="str">
        <f>""</f>
        <v/>
      </c>
      <c r="P1550" t="s">
        <v>535</v>
      </c>
      <c r="Q1550" t="str">
        <f>"8711768100216"</f>
        <v>8711768100216</v>
      </c>
      <c r="R1550" t="s">
        <v>536</v>
      </c>
      <c r="S1550" t="s">
        <v>539</v>
      </c>
      <c r="T1550" s="1" t="s">
        <v>540</v>
      </c>
      <c r="U1550">
        <v>273</v>
      </c>
      <c r="V1550" t="s">
        <v>535</v>
      </c>
      <c r="W1550" t="s">
        <v>498</v>
      </c>
      <c r="X1550" t="s">
        <v>497</v>
      </c>
    </row>
    <row r="1551" spans="1:25">
      <c r="A1551">
        <v>13531</v>
      </c>
      <c r="B1551" t="s">
        <v>25</v>
      </c>
      <c r="C1551" t="str">
        <f t="shared" si="50"/>
        <v>INTEGRA Saloon</v>
      </c>
      <c r="D1551" t="str">
        <f t="shared" si="49"/>
        <v>1.6 i</v>
      </c>
      <c r="E1551" t="s">
        <v>26</v>
      </c>
      <c r="F1551">
        <v>198501</v>
      </c>
      <c r="G1551">
        <v>199012</v>
      </c>
      <c r="H1551">
        <v>88</v>
      </c>
      <c r="I1551">
        <v>120</v>
      </c>
      <c r="J1551">
        <v>1590</v>
      </c>
      <c r="K1551">
        <v>3964730</v>
      </c>
      <c r="L1551" t="s">
        <v>27</v>
      </c>
      <c r="M1551" t="str">
        <f>"H57901"</f>
        <v>H57901</v>
      </c>
      <c r="N1551" t="str">
        <f>"H579-01"</f>
        <v>H579-01</v>
      </c>
      <c r="O1551" t="str">
        <f>""</f>
        <v/>
      </c>
      <c r="P1551" t="s">
        <v>535</v>
      </c>
      <c r="Q1551" t="str">
        <f>"8718993218983"</f>
        <v>8718993218983</v>
      </c>
      <c r="R1551" t="s">
        <v>541</v>
      </c>
      <c r="S1551" t="s">
        <v>542</v>
      </c>
      <c r="T1551" s="1" t="s">
        <v>543</v>
      </c>
      <c r="U1551">
        <v>273</v>
      </c>
      <c r="V1551" t="s">
        <v>535</v>
      </c>
      <c r="W1551" t="s">
        <v>498</v>
      </c>
      <c r="X1551" t="s">
        <v>497</v>
      </c>
    </row>
    <row r="1552" spans="1:25">
      <c r="A1552">
        <v>13531</v>
      </c>
      <c r="B1552" t="s">
        <v>25</v>
      </c>
      <c r="C1552" t="str">
        <f t="shared" si="50"/>
        <v>INTEGRA Saloon</v>
      </c>
      <c r="D1552" t="str">
        <f t="shared" si="49"/>
        <v>1.6 i</v>
      </c>
      <c r="E1552" t="s">
        <v>26</v>
      </c>
      <c r="F1552">
        <v>198501</v>
      </c>
      <c r="G1552">
        <v>199012</v>
      </c>
      <c r="H1552">
        <v>88</v>
      </c>
      <c r="I1552">
        <v>120</v>
      </c>
      <c r="J1552">
        <v>1590</v>
      </c>
      <c r="K1552">
        <v>3964731</v>
      </c>
      <c r="L1552" t="s">
        <v>27</v>
      </c>
      <c r="M1552" t="str">
        <f>"H58001"</f>
        <v>H58001</v>
      </c>
      <c r="N1552" t="str">
        <f>"H580-01"</f>
        <v>H580-01</v>
      </c>
      <c r="O1552" t="str">
        <f>""</f>
        <v/>
      </c>
      <c r="P1552" t="s">
        <v>535</v>
      </c>
      <c r="Q1552" t="str">
        <f>"8718993218990"</f>
        <v>8718993218990</v>
      </c>
      <c r="R1552" t="s">
        <v>544</v>
      </c>
      <c r="S1552" t="s">
        <v>545</v>
      </c>
      <c r="T1552" s="1" t="s">
        <v>546</v>
      </c>
      <c r="U1552">
        <v>273</v>
      </c>
      <c r="V1552" t="s">
        <v>535</v>
      </c>
      <c r="W1552" t="s">
        <v>498</v>
      </c>
      <c r="X1552" t="s">
        <v>497</v>
      </c>
    </row>
    <row r="1553" spans="1:25">
      <c r="A1553">
        <v>13531</v>
      </c>
      <c r="B1553" t="s">
        <v>25</v>
      </c>
      <c r="C1553" t="str">
        <f t="shared" si="50"/>
        <v>INTEGRA Saloon</v>
      </c>
      <c r="D1553" t="str">
        <f t="shared" si="49"/>
        <v>1.6 i</v>
      </c>
      <c r="E1553" t="s">
        <v>26</v>
      </c>
      <c r="F1553">
        <v>198501</v>
      </c>
      <c r="G1553">
        <v>199012</v>
      </c>
      <c r="H1553">
        <v>88</v>
      </c>
      <c r="I1553">
        <v>120</v>
      </c>
      <c r="J1553">
        <v>1590</v>
      </c>
      <c r="K1553">
        <v>3029731</v>
      </c>
      <c r="L1553" t="s">
        <v>33</v>
      </c>
      <c r="M1553" t="str">
        <f>"J3234001"</f>
        <v>J3234001</v>
      </c>
      <c r="N1553" t="str">
        <f>"J3234001"</f>
        <v>J3234001</v>
      </c>
      <c r="O1553" t="str">
        <f>""</f>
        <v/>
      </c>
      <c r="P1553" t="s">
        <v>547</v>
      </c>
      <c r="Q1553" t="str">
        <f>"8711768205096"</f>
        <v>8711768205096</v>
      </c>
      <c r="R1553" t="s">
        <v>548</v>
      </c>
      <c r="S1553" t="s">
        <v>549</v>
      </c>
      <c r="T1553" s="1" t="s">
        <v>550</v>
      </c>
      <c r="U1553">
        <v>277</v>
      </c>
      <c r="V1553" t="s">
        <v>547</v>
      </c>
      <c r="W1553" t="s">
        <v>514</v>
      </c>
      <c r="X1553" t="s">
        <v>224</v>
      </c>
      <c r="Y1553" t="s">
        <v>547</v>
      </c>
    </row>
    <row r="1554" spans="1:25">
      <c r="A1554">
        <v>13531</v>
      </c>
      <c r="B1554" t="s">
        <v>25</v>
      </c>
      <c r="C1554" t="str">
        <f t="shared" si="50"/>
        <v>INTEGRA Saloon</v>
      </c>
      <c r="D1554" t="str">
        <f t="shared" si="49"/>
        <v>1.6 i</v>
      </c>
      <c r="E1554" t="s">
        <v>26</v>
      </c>
      <c r="F1554">
        <v>198501</v>
      </c>
      <c r="G1554">
        <v>199012</v>
      </c>
      <c r="H1554">
        <v>88</v>
      </c>
      <c r="I1554">
        <v>120</v>
      </c>
      <c r="J1554">
        <v>1590</v>
      </c>
      <c r="K1554">
        <v>3029839</v>
      </c>
      <c r="L1554" t="s">
        <v>33</v>
      </c>
      <c r="M1554" t="str">
        <f>"J3244000"</f>
        <v>J3244000</v>
      </c>
      <c r="N1554" t="str">
        <f>"J3244000"</f>
        <v>J3244000</v>
      </c>
      <c r="O1554" t="str">
        <f>""</f>
        <v/>
      </c>
      <c r="P1554" t="s">
        <v>547</v>
      </c>
      <c r="Q1554" t="str">
        <f>"8711768063658"</f>
        <v>8711768063658</v>
      </c>
      <c r="R1554" t="s">
        <v>548</v>
      </c>
      <c r="S1554" t="s">
        <v>551</v>
      </c>
      <c r="T1554" s="1" t="s">
        <v>552</v>
      </c>
      <c r="U1554">
        <v>277</v>
      </c>
      <c r="V1554" t="s">
        <v>547</v>
      </c>
      <c r="W1554" t="s">
        <v>514</v>
      </c>
      <c r="X1554" t="s">
        <v>224</v>
      </c>
      <c r="Y1554" t="s">
        <v>547</v>
      </c>
    </row>
    <row r="1555" spans="1:25">
      <c r="A1555">
        <v>13531</v>
      </c>
      <c r="B1555" t="s">
        <v>25</v>
      </c>
      <c r="C1555" t="str">
        <f t="shared" si="50"/>
        <v>INTEGRA Saloon</v>
      </c>
      <c r="D1555" t="str">
        <f t="shared" si="49"/>
        <v>1.6 i</v>
      </c>
      <c r="E1555" t="s">
        <v>26</v>
      </c>
      <c r="F1555">
        <v>198501</v>
      </c>
      <c r="G1555">
        <v>199012</v>
      </c>
      <c r="H1555">
        <v>88</v>
      </c>
      <c r="I1555">
        <v>120</v>
      </c>
      <c r="J1555">
        <v>1590</v>
      </c>
      <c r="K1555">
        <v>3963780</v>
      </c>
      <c r="L1555" t="s">
        <v>27</v>
      </c>
      <c r="M1555" t="str">
        <f>"H07301"</f>
        <v>H07301</v>
      </c>
      <c r="N1555" t="str">
        <f>"H073-01"</f>
        <v>H073-01</v>
      </c>
      <c r="O1555" t="str">
        <f>""</f>
        <v/>
      </c>
      <c r="P1555" t="s">
        <v>547</v>
      </c>
      <c r="Q1555" t="str">
        <f>"8718993208243"</f>
        <v>8718993208243</v>
      </c>
      <c r="R1555" t="s">
        <v>553</v>
      </c>
      <c r="S1555" t="s">
        <v>551</v>
      </c>
      <c r="T1555" s="1" t="s">
        <v>554</v>
      </c>
      <c r="U1555">
        <v>277</v>
      </c>
      <c r="V1555" t="s">
        <v>547</v>
      </c>
      <c r="W1555" t="s">
        <v>514</v>
      </c>
      <c r="X1555" t="s">
        <v>224</v>
      </c>
      <c r="Y1555" t="s">
        <v>547</v>
      </c>
    </row>
    <row r="1556" spans="1:25">
      <c r="A1556">
        <v>13531</v>
      </c>
      <c r="B1556" t="s">
        <v>25</v>
      </c>
      <c r="C1556" t="str">
        <f t="shared" si="50"/>
        <v>INTEGRA Saloon</v>
      </c>
      <c r="D1556" t="str">
        <f t="shared" si="49"/>
        <v>1.6 i</v>
      </c>
      <c r="E1556" t="s">
        <v>26</v>
      </c>
      <c r="F1556">
        <v>198501</v>
      </c>
      <c r="G1556">
        <v>199012</v>
      </c>
      <c r="H1556">
        <v>88</v>
      </c>
      <c r="I1556">
        <v>120</v>
      </c>
      <c r="J1556">
        <v>1590</v>
      </c>
      <c r="K1556">
        <v>3963781</v>
      </c>
      <c r="L1556" t="s">
        <v>27</v>
      </c>
      <c r="M1556" t="str">
        <f>"H07302"</f>
        <v>H07302</v>
      </c>
      <c r="N1556" t="str">
        <f>"H073-02"</f>
        <v>H073-02</v>
      </c>
      <c r="O1556" t="str">
        <f>""</f>
        <v/>
      </c>
      <c r="P1556" t="s">
        <v>547</v>
      </c>
      <c r="Q1556" t="str">
        <f>"8718993208250"</f>
        <v>8718993208250</v>
      </c>
      <c r="R1556" t="s">
        <v>555</v>
      </c>
      <c r="S1556" t="s">
        <v>549</v>
      </c>
      <c r="T1556" s="1" t="s">
        <v>556</v>
      </c>
      <c r="U1556">
        <v>277</v>
      </c>
      <c r="V1556" t="s">
        <v>547</v>
      </c>
      <c r="W1556" t="s">
        <v>514</v>
      </c>
      <c r="X1556" t="s">
        <v>224</v>
      </c>
      <c r="Y1556" t="s">
        <v>547</v>
      </c>
    </row>
    <row r="1557" spans="1:25">
      <c r="A1557">
        <v>13531</v>
      </c>
      <c r="B1557" t="s">
        <v>25</v>
      </c>
      <c r="C1557" t="str">
        <f t="shared" si="50"/>
        <v>INTEGRA Saloon</v>
      </c>
      <c r="D1557" t="str">
        <f t="shared" si="49"/>
        <v>1.6 i</v>
      </c>
      <c r="E1557" t="s">
        <v>26</v>
      </c>
      <c r="F1557">
        <v>198501</v>
      </c>
      <c r="G1557">
        <v>199012</v>
      </c>
      <c r="H1557">
        <v>88</v>
      </c>
      <c r="I1557">
        <v>120</v>
      </c>
      <c r="J1557">
        <v>1590</v>
      </c>
      <c r="K1557">
        <v>4200225</v>
      </c>
      <c r="L1557" t="s">
        <v>255</v>
      </c>
      <c r="M1557" t="str">
        <f>"C54001ABE"</f>
        <v>C54001ABE</v>
      </c>
      <c r="N1557" t="str">
        <f>"C54001ABE"</f>
        <v>C54001ABE</v>
      </c>
      <c r="O1557" t="str">
        <f>""</f>
        <v/>
      </c>
      <c r="P1557" t="s">
        <v>547</v>
      </c>
      <c r="Q1557" t="str">
        <f>""</f>
        <v/>
      </c>
      <c r="R1557" t="s">
        <v>557</v>
      </c>
      <c r="S1557" t="s">
        <v>549</v>
      </c>
      <c r="T1557" s="1" t="s">
        <v>558</v>
      </c>
      <c r="U1557">
        <v>277</v>
      </c>
      <c r="V1557" t="s">
        <v>547</v>
      </c>
      <c r="W1557" t="s">
        <v>514</v>
      </c>
      <c r="X1557" t="s">
        <v>224</v>
      </c>
      <c r="Y1557" t="s">
        <v>547</v>
      </c>
    </row>
    <row r="1558" spans="1:25">
      <c r="A1558">
        <v>13531</v>
      </c>
      <c r="B1558" t="s">
        <v>25</v>
      </c>
      <c r="C1558" t="str">
        <f t="shared" si="50"/>
        <v>INTEGRA Saloon</v>
      </c>
      <c r="D1558" t="str">
        <f t="shared" si="49"/>
        <v>1.6 i</v>
      </c>
      <c r="E1558" t="s">
        <v>26</v>
      </c>
      <c r="F1558">
        <v>198501</v>
      </c>
      <c r="G1558">
        <v>199012</v>
      </c>
      <c r="H1558">
        <v>88</v>
      </c>
      <c r="I1558">
        <v>120</v>
      </c>
      <c r="J1558">
        <v>1590</v>
      </c>
      <c r="K1558">
        <v>4200226</v>
      </c>
      <c r="L1558" t="s">
        <v>255</v>
      </c>
      <c r="M1558" t="str">
        <f>"C54002ABE"</f>
        <v>C54002ABE</v>
      </c>
      <c r="N1558" t="str">
        <f>"C54002ABE"</f>
        <v>C54002ABE</v>
      </c>
      <c r="O1558" t="str">
        <f>""</f>
        <v/>
      </c>
      <c r="P1558" t="s">
        <v>547</v>
      </c>
      <c r="Q1558" t="str">
        <f>""</f>
        <v/>
      </c>
      <c r="R1558" t="s">
        <v>557</v>
      </c>
      <c r="S1558" t="s">
        <v>551</v>
      </c>
      <c r="T1558" s="1" t="s">
        <v>559</v>
      </c>
      <c r="U1558">
        <v>277</v>
      </c>
      <c r="V1558" t="s">
        <v>547</v>
      </c>
      <c r="W1558" t="s">
        <v>514</v>
      </c>
      <c r="X1558" t="s">
        <v>224</v>
      </c>
      <c r="Y1558" t="s">
        <v>547</v>
      </c>
    </row>
    <row r="1559" spans="1:25">
      <c r="A1559">
        <v>13531</v>
      </c>
      <c r="B1559" t="s">
        <v>25</v>
      </c>
      <c r="C1559" t="str">
        <f t="shared" si="50"/>
        <v>INTEGRA Saloon</v>
      </c>
      <c r="D1559" t="str">
        <f t="shared" si="49"/>
        <v>1.6 i</v>
      </c>
      <c r="E1559" t="s">
        <v>26</v>
      </c>
      <c r="F1559">
        <v>198501</v>
      </c>
      <c r="G1559">
        <v>199012</v>
      </c>
      <c r="H1559">
        <v>88</v>
      </c>
      <c r="I1559">
        <v>120</v>
      </c>
      <c r="J1559">
        <v>1590</v>
      </c>
      <c r="K1559">
        <v>568766</v>
      </c>
      <c r="L1559" t="s">
        <v>560</v>
      </c>
      <c r="M1559" t="str">
        <f>"TF450L"</f>
        <v>TF450L</v>
      </c>
      <c r="N1559" t="str">
        <f>"TF450L"</f>
        <v>TF450L</v>
      </c>
      <c r="O1559" t="str">
        <f>""</f>
        <v/>
      </c>
      <c r="P1559" t="s">
        <v>561</v>
      </c>
      <c r="Q1559" t="str">
        <f>""</f>
        <v/>
      </c>
      <c r="S1559" t="s">
        <v>562</v>
      </c>
      <c r="U1559">
        <v>298</v>
      </c>
      <c r="V1559" t="s">
        <v>561</v>
      </c>
      <c r="W1559" t="s">
        <v>561</v>
      </c>
      <c r="X1559" t="s">
        <v>563</v>
      </c>
    </row>
    <row r="1560" spans="1:25">
      <c r="A1560">
        <v>13531</v>
      </c>
      <c r="B1560" t="s">
        <v>25</v>
      </c>
      <c r="C1560" t="str">
        <f t="shared" si="50"/>
        <v>INTEGRA Saloon</v>
      </c>
      <c r="D1560" t="str">
        <f t="shared" si="49"/>
        <v>1.6 i</v>
      </c>
      <c r="E1560" t="s">
        <v>26</v>
      </c>
      <c r="F1560">
        <v>198501</v>
      </c>
      <c r="G1560">
        <v>199012</v>
      </c>
      <c r="H1560">
        <v>88</v>
      </c>
      <c r="I1560">
        <v>120</v>
      </c>
      <c r="J1560">
        <v>1590</v>
      </c>
      <c r="K1560">
        <v>568767</v>
      </c>
      <c r="L1560" t="s">
        <v>560</v>
      </c>
      <c r="M1560" t="str">
        <f>"TF450R"</f>
        <v>TF450R</v>
      </c>
      <c r="N1560" t="str">
        <f>"TF450R"</f>
        <v>TF450R</v>
      </c>
      <c r="O1560" t="str">
        <f>""</f>
        <v/>
      </c>
      <c r="P1560" t="s">
        <v>561</v>
      </c>
      <c r="Q1560" t="str">
        <f>""</f>
        <v/>
      </c>
      <c r="S1560" t="s">
        <v>564</v>
      </c>
      <c r="U1560">
        <v>298</v>
      </c>
      <c r="V1560" t="s">
        <v>561</v>
      </c>
      <c r="W1560" t="s">
        <v>561</v>
      </c>
      <c r="X1560" t="s">
        <v>563</v>
      </c>
    </row>
    <row r="1561" spans="1:25">
      <c r="A1561">
        <v>13531</v>
      </c>
      <c r="B1561" t="s">
        <v>25</v>
      </c>
      <c r="C1561" t="str">
        <f t="shared" si="50"/>
        <v>INTEGRA Saloon</v>
      </c>
      <c r="D1561" t="str">
        <f t="shared" si="49"/>
        <v>1.6 i</v>
      </c>
      <c r="E1561" t="s">
        <v>26</v>
      </c>
      <c r="F1561">
        <v>198501</v>
      </c>
      <c r="G1561">
        <v>199012</v>
      </c>
      <c r="H1561">
        <v>88</v>
      </c>
      <c r="I1561">
        <v>120</v>
      </c>
      <c r="J1561">
        <v>1590</v>
      </c>
      <c r="K1561">
        <v>952409</v>
      </c>
      <c r="L1561" t="s">
        <v>218</v>
      </c>
      <c r="M1561" t="str">
        <f>"PR45"</f>
        <v>PR45</v>
      </c>
      <c r="N1561" t="str">
        <f>"PR-45"</f>
        <v>PR-45</v>
      </c>
      <c r="O1561" t="str">
        <f>""</f>
        <v/>
      </c>
      <c r="P1561" t="s">
        <v>561</v>
      </c>
      <c r="Q1561" t="str">
        <f>""</f>
        <v/>
      </c>
      <c r="R1561" t="s">
        <v>565</v>
      </c>
      <c r="S1561" t="s">
        <v>566</v>
      </c>
      <c r="T1561" s="1" t="s">
        <v>567</v>
      </c>
      <c r="U1561">
        <v>298</v>
      </c>
      <c r="V1561" t="s">
        <v>561</v>
      </c>
      <c r="W1561" t="s">
        <v>561</v>
      </c>
      <c r="X1561" t="s">
        <v>563</v>
      </c>
    </row>
    <row r="1562" spans="1:25">
      <c r="A1562">
        <v>13531</v>
      </c>
      <c r="B1562" t="s">
        <v>25</v>
      </c>
      <c r="C1562" t="str">
        <f t="shared" si="50"/>
        <v>INTEGRA Saloon</v>
      </c>
      <c r="D1562" t="str">
        <f t="shared" si="49"/>
        <v>1.6 i</v>
      </c>
      <c r="E1562" t="s">
        <v>26</v>
      </c>
      <c r="F1562">
        <v>198501</v>
      </c>
      <c r="G1562">
        <v>199012</v>
      </c>
      <c r="H1562">
        <v>88</v>
      </c>
      <c r="I1562">
        <v>120</v>
      </c>
      <c r="J1562">
        <v>1590</v>
      </c>
      <c r="K1562">
        <v>952410</v>
      </c>
      <c r="L1562" t="s">
        <v>218</v>
      </c>
      <c r="M1562" t="str">
        <f>"PR45F"</f>
        <v>PR45F</v>
      </c>
      <c r="N1562" t="str">
        <f>"PR-45F"</f>
        <v>PR-45F</v>
      </c>
      <c r="O1562" t="str">
        <f>""</f>
        <v/>
      </c>
      <c r="P1562" t="s">
        <v>561</v>
      </c>
      <c r="Q1562" t="str">
        <f>""</f>
        <v/>
      </c>
      <c r="R1562" t="s">
        <v>565</v>
      </c>
      <c r="S1562" t="s">
        <v>568</v>
      </c>
      <c r="T1562" s="1" t="s">
        <v>569</v>
      </c>
      <c r="U1562">
        <v>298</v>
      </c>
      <c r="V1562" t="s">
        <v>561</v>
      </c>
      <c r="W1562" t="s">
        <v>561</v>
      </c>
      <c r="X1562" t="s">
        <v>563</v>
      </c>
    </row>
    <row r="1563" spans="1:25">
      <c r="A1563">
        <v>13531</v>
      </c>
      <c r="B1563" t="s">
        <v>25</v>
      </c>
      <c r="C1563" t="str">
        <f t="shared" si="50"/>
        <v>INTEGRA Saloon</v>
      </c>
      <c r="D1563" t="str">
        <f t="shared" si="49"/>
        <v>1.6 i</v>
      </c>
      <c r="E1563" t="s">
        <v>26</v>
      </c>
      <c r="F1563">
        <v>198501</v>
      </c>
      <c r="G1563">
        <v>199012</v>
      </c>
      <c r="H1563">
        <v>88</v>
      </c>
      <c r="I1563">
        <v>120</v>
      </c>
      <c r="J1563">
        <v>1590</v>
      </c>
      <c r="K1563">
        <v>952411</v>
      </c>
      <c r="L1563" t="s">
        <v>218</v>
      </c>
      <c r="M1563" t="str">
        <f>"PR45H"</f>
        <v>PR45H</v>
      </c>
      <c r="N1563" t="str">
        <f>"PR-45H"</f>
        <v>PR-45H</v>
      </c>
      <c r="O1563" t="str">
        <f>""</f>
        <v/>
      </c>
      <c r="P1563" t="s">
        <v>561</v>
      </c>
      <c r="Q1563" t="str">
        <f>""</f>
        <v/>
      </c>
      <c r="S1563" t="s">
        <v>568</v>
      </c>
      <c r="U1563">
        <v>298</v>
      </c>
      <c r="V1563" t="s">
        <v>561</v>
      </c>
      <c r="W1563" t="s">
        <v>561</v>
      </c>
      <c r="X1563" t="s">
        <v>563</v>
      </c>
    </row>
    <row r="1564" spans="1:25">
      <c r="A1564">
        <v>13531</v>
      </c>
      <c r="B1564" t="s">
        <v>25</v>
      </c>
      <c r="C1564" t="str">
        <f t="shared" si="50"/>
        <v>INTEGRA Saloon</v>
      </c>
      <c r="D1564" t="str">
        <f t="shared" si="49"/>
        <v>1.6 i</v>
      </c>
      <c r="E1564" t="s">
        <v>26</v>
      </c>
      <c r="F1564">
        <v>198501</v>
      </c>
      <c r="G1564">
        <v>199012</v>
      </c>
      <c r="H1564">
        <v>88</v>
      </c>
      <c r="I1564">
        <v>120</v>
      </c>
      <c r="J1564">
        <v>1590</v>
      </c>
      <c r="K1564">
        <v>2928185</v>
      </c>
      <c r="L1564" t="s">
        <v>560</v>
      </c>
      <c r="M1564" t="str">
        <f>"35180"</f>
        <v>35180</v>
      </c>
      <c r="N1564" t="str">
        <f>"35-180"</f>
        <v>35-180</v>
      </c>
      <c r="O1564" t="str">
        <f>""</f>
        <v/>
      </c>
      <c r="P1564" t="s">
        <v>561</v>
      </c>
      <c r="Q1564" t="str">
        <f>""</f>
        <v/>
      </c>
      <c r="R1564" t="s">
        <v>565</v>
      </c>
      <c r="S1564" t="s">
        <v>566</v>
      </c>
      <c r="T1564" s="1" t="s">
        <v>570</v>
      </c>
      <c r="U1564">
        <v>298</v>
      </c>
      <c r="V1564" t="s">
        <v>561</v>
      </c>
      <c r="W1564" t="s">
        <v>561</v>
      </c>
      <c r="X1564" t="s">
        <v>563</v>
      </c>
    </row>
    <row r="1565" spans="1:25">
      <c r="A1565">
        <v>13531</v>
      </c>
      <c r="B1565" t="s">
        <v>25</v>
      </c>
      <c r="C1565" t="str">
        <f t="shared" si="50"/>
        <v>INTEGRA Saloon</v>
      </c>
      <c r="D1565" t="str">
        <f t="shared" si="49"/>
        <v>1.6 i</v>
      </c>
      <c r="E1565" t="s">
        <v>26</v>
      </c>
      <c r="F1565">
        <v>198501</v>
      </c>
      <c r="G1565">
        <v>199012</v>
      </c>
      <c r="H1565">
        <v>88</v>
      </c>
      <c r="I1565">
        <v>120</v>
      </c>
      <c r="J1565">
        <v>1590</v>
      </c>
      <c r="K1565">
        <v>2928202</v>
      </c>
      <c r="L1565" t="s">
        <v>560</v>
      </c>
      <c r="M1565" t="str">
        <f>"EF450"</f>
        <v>EF450</v>
      </c>
      <c r="N1565" t="str">
        <f>"EF450"</f>
        <v>EF450</v>
      </c>
      <c r="O1565" t="str">
        <f>""</f>
        <v/>
      </c>
      <c r="P1565" t="s">
        <v>561</v>
      </c>
      <c r="Q1565" t="str">
        <f>""</f>
        <v/>
      </c>
      <c r="R1565" t="s">
        <v>565</v>
      </c>
      <c r="S1565" t="s">
        <v>568</v>
      </c>
      <c r="T1565" s="1" t="s">
        <v>571</v>
      </c>
      <c r="U1565">
        <v>298</v>
      </c>
      <c r="V1565" t="s">
        <v>561</v>
      </c>
      <c r="W1565" t="s">
        <v>561</v>
      </c>
      <c r="X1565" t="s">
        <v>563</v>
      </c>
    </row>
    <row r="1566" spans="1:25">
      <c r="A1566">
        <v>13531</v>
      </c>
      <c r="B1566" t="s">
        <v>25</v>
      </c>
      <c r="C1566" t="str">
        <f t="shared" si="50"/>
        <v>INTEGRA Saloon</v>
      </c>
      <c r="D1566" t="str">
        <f t="shared" si="49"/>
        <v>1.6 i</v>
      </c>
      <c r="E1566" t="s">
        <v>26</v>
      </c>
      <c r="F1566">
        <v>198501</v>
      </c>
      <c r="G1566">
        <v>199012</v>
      </c>
      <c r="H1566">
        <v>88</v>
      </c>
      <c r="I1566">
        <v>120</v>
      </c>
      <c r="J1566">
        <v>1590</v>
      </c>
      <c r="K1566">
        <v>2928348</v>
      </c>
      <c r="L1566" t="s">
        <v>560</v>
      </c>
      <c r="M1566" t="str">
        <f>"FX450"</f>
        <v>FX450</v>
      </c>
      <c r="N1566" t="str">
        <f>"FX450"</f>
        <v>FX450</v>
      </c>
      <c r="O1566" t="str">
        <f>""</f>
        <v/>
      </c>
      <c r="P1566" t="s">
        <v>561</v>
      </c>
      <c r="Q1566" t="str">
        <f>""</f>
        <v/>
      </c>
      <c r="R1566" t="s">
        <v>565</v>
      </c>
      <c r="S1566" t="s">
        <v>572</v>
      </c>
      <c r="T1566" s="1" t="s">
        <v>573</v>
      </c>
      <c r="U1566">
        <v>298</v>
      </c>
      <c r="V1566" t="s">
        <v>561</v>
      </c>
      <c r="W1566" t="s">
        <v>561</v>
      </c>
      <c r="X1566" t="s">
        <v>563</v>
      </c>
    </row>
    <row r="1567" spans="1:25">
      <c r="A1567">
        <v>13531</v>
      </c>
      <c r="B1567" t="s">
        <v>25</v>
      </c>
      <c r="C1567" t="str">
        <f t="shared" si="50"/>
        <v>INTEGRA Saloon</v>
      </c>
      <c r="D1567" t="str">
        <f t="shared" si="49"/>
        <v>1.6 i</v>
      </c>
      <c r="E1567" t="s">
        <v>26</v>
      </c>
      <c r="F1567">
        <v>198501</v>
      </c>
      <c r="G1567">
        <v>199012</v>
      </c>
      <c r="H1567">
        <v>88</v>
      </c>
      <c r="I1567">
        <v>120</v>
      </c>
      <c r="J1567">
        <v>1590</v>
      </c>
      <c r="K1567">
        <v>2928366</v>
      </c>
      <c r="L1567" t="s">
        <v>560</v>
      </c>
      <c r="M1567" t="str">
        <f>"NF450"</f>
        <v>NF450</v>
      </c>
      <c r="N1567" t="str">
        <f>"NF450"</f>
        <v>NF450</v>
      </c>
      <c r="O1567" t="str">
        <f>""</f>
        <v/>
      </c>
      <c r="P1567" t="s">
        <v>561</v>
      </c>
      <c r="Q1567" t="str">
        <f>""</f>
        <v/>
      </c>
      <c r="R1567" t="s">
        <v>565</v>
      </c>
      <c r="S1567" t="s">
        <v>566</v>
      </c>
      <c r="T1567" t="s">
        <v>574</v>
      </c>
      <c r="U1567">
        <v>298</v>
      </c>
      <c r="V1567" t="s">
        <v>561</v>
      </c>
      <c r="W1567" t="s">
        <v>561</v>
      </c>
      <c r="X1567" t="s">
        <v>563</v>
      </c>
    </row>
    <row r="1568" spans="1:25">
      <c r="A1568">
        <v>13531</v>
      </c>
      <c r="B1568" t="s">
        <v>25</v>
      </c>
      <c r="C1568" t="str">
        <f t="shared" si="50"/>
        <v>INTEGRA Saloon</v>
      </c>
      <c r="D1568" t="str">
        <f t="shared" si="49"/>
        <v>1.6 i</v>
      </c>
      <c r="E1568" t="s">
        <v>26</v>
      </c>
      <c r="F1568">
        <v>198501</v>
      </c>
      <c r="G1568">
        <v>199012</v>
      </c>
      <c r="H1568">
        <v>88</v>
      </c>
      <c r="I1568">
        <v>120</v>
      </c>
      <c r="J1568">
        <v>1590</v>
      </c>
      <c r="K1568">
        <v>2928421</v>
      </c>
      <c r="L1568" t="s">
        <v>560</v>
      </c>
      <c r="M1568" t="str">
        <f>"T450"</f>
        <v>T450</v>
      </c>
      <c r="N1568" t="str">
        <f>"T450"</f>
        <v>T450</v>
      </c>
      <c r="O1568" t="str">
        <f>""</f>
        <v/>
      </c>
      <c r="P1568" t="s">
        <v>561</v>
      </c>
      <c r="Q1568" t="str">
        <f>""</f>
        <v/>
      </c>
      <c r="R1568" t="s">
        <v>565</v>
      </c>
      <c r="S1568" t="s">
        <v>568</v>
      </c>
      <c r="T1568" s="1" t="s">
        <v>575</v>
      </c>
      <c r="U1568">
        <v>298</v>
      </c>
      <c r="V1568" t="s">
        <v>561</v>
      </c>
      <c r="W1568" t="s">
        <v>561</v>
      </c>
      <c r="X1568" t="s">
        <v>563</v>
      </c>
    </row>
    <row r="1569" spans="1:25">
      <c r="A1569">
        <v>13531</v>
      </c>
      <c r="B1569" t="s">
        <v>25</v>
      </c>
      <c r="C1569" t="str">
        <f t="shared" si="50"/>
        <v>INTEGRA Saloon</v>
      </c>
      <c r="D1569" t="str">
        <f t="shared" si="49"/>
        <v>1.6 i</v>
      </c>
      <c r="E1569" t="s">
        <v>26</v>
      </c>
      <c r="F1569">
        <v>198501</v>
      </c>
      <c r="G1569">
        <v>199012</v>
      </c>
      <c r="H1569">
        <v>88</v>
      </c>
      <c r="I1569">
        <v>120</v>
      </c>
      <c r="J1569">
        <v>1590</v>
      </c>
      <c r="K1569">
        <v>2928443</v>
      </c>
      <c r="L1569" t="s">
        <v>560</v>
      </c>
      <c r="M1569" t="str">
        <f>"TT450"</f>
        <v>TT450</v>
      </c>
      <c r="N1569" t="str">
        <f>"TT450"</f>
        <v>TT450</v>
      </c>
      <c r="O1569" t="str">
        <f>""</f>
        <v/>
      </c>
      <c r="P1569" t="s">
        <v>561</v>
      </c>
      <c r="Q1569" t="str">
        <f>""</f>
        <v/>
      </c>
      <c r="R1569" t="s">
        <v>565</v>
      </c>
      <c r="S1569" t="s">
        <v>566</v>
      </c>
      <c r="T1569" t="s">
        <v>576</v>
      </c>
      <c r="U1569">
        <v>298</v>
      </c>
      <c r="V1569" t="s">
        <v>561</v>
      </c>
      <c r="W1569" t="s">
        <v>561</v>
      </c>
      <c r="X1569" t="s">
        <v>563</v>
      </c>
    </row>
    <row r="1570" spans="1:25">
      <c r="A1570">
        <v>13531</v>
      </c>
      <c r="B1570" t="s">
        <v>25</v>
      </c>
      <c r="C1570" t="str">
        <f t="shared" si="50"/>
        <v>INTEGRA Saloon</v>
      </c>
      <c r="D1570" t="str">
        <f t="shared" si="49"/>
        <v>1.6 i</v>
      </c>
      <c r="E1570" t="s">
        <v>26</v>
      </c>
      <c r="F1570">
        <v>198501</v>
      </c>
      <c r="G1570">
        <v>199012</v>
      </c>
      <c r="H1570">
        <v>88</v>
      </c>
      <c r="I1570">
        <v>120</v>
      </c>
      <c r="J1570">
        <v>1590</v>
      </c>
      <c r="K1570">
        <v>3041324</v>
      </c>
      <c r="L1570" t="s">
        <v>33</v>
      </c>
      <c r="M1570" t="str">
        <f>"UB450"</f>
        <v>UB450</v>
      </c>
      <c r="N1570" t="str">
        <f>"UB450"</f>
        <v>UB450</v>
      </c>
      <c r="O1570" t="str">
        <f>""</f>
        <v/>
      </c>
      <c r="P1570" t="s">
        <v>561</v>
      </c>
      <c r="Q1570" t="str">
        <f>"8711768154219"</f>
        <v>8711768154219</v>
      </c>
      <c r="S1570" t="s">
        <v>1361</v>
      </c>
      <c r="U1570">
        <v>298</v>
      </c>
      <c r="V1570" t="s">
        <v>561</v>
      </c>
      <c r="W1570" t="s">
        <v>561</v>
      </c>
      <c r="X1570" t="s">
        <v>563</v>
      </c>
    </row>
    <row r="1571" spans="1:25">
      <c r="A1571">
        <v>13531</v>
      </c>
      <c r="B1571" t="s">
        <v>25</v>
      </c>
      <c r="C1571" t="str">
        <f t="shared" si="50"/>
        <v>INTEGRA Saloon</v>
      </c>
      <c r="D1571" t="str">
        <f t="shared" si="49"/>
        <v>1.6 i</v>
      </c>
      <c r="E1571" t="s">
        <v>26</v>
      </c>
      <c r="F1571">
        <v>198501</v>
      </c>
      <c r="G1571">
        <v>199012</v>
      </c>
      <c r="H1571">
        <v>88</v>
      </c>
      <c r="I1571">
        <v>120</v>
      </c>
      <c r="J1571">
        <v>1590</v>
      </c>
      <c r="K1571">
        <v>3841536</v>
      </c>
      <c r="L1571" t="s">
        <v>419</v>
      </c>
      <c r="M1571" t="str">
        <f>"CRF45L"</f>
        <v>CRF45L</v>
      </c>
      <c r="N1571" t="str">
        <f>"CRF45L"</f>
        <v>CRF45L</v>
      </c>
      <c r="O1571" t="str">
        <f>""</f>
        <v/>
      </c>
      <c r="P1571" t="s">
        <v>561</v>
      </c>
      <c r="Q1571" t="str">
        <f>""</f>
        <v/>
      </c>
      <c r="R1571" t="s">
        <v>578</v>
      </c>
      <c r="S1571" t="s">
        <v>579</v>
      </c>
      <c r="T1571" t="s">
        <v>580</v>
      </c>
      <c r="U1571">
        <v>298</v>
      </c>
      <c r="V1571" t="s">
        <v>561</v>
      </c>
      <c r="W1571" t="s">
        <v>561</v>
      </c>
      <c r="X1571" t="s">
        <v>563</v>
      </c>
    </row>
    <row r="1572" spans="1:25">
      <c r="A1572">
        <v>13531</v>
      </c>
      <c r="B1572" t="s">
        <v>25</v>
      </c>
      <c r="C1572" t="str">
        <f t="shared" si="50"/>
        <v>INTEGRA Saloon</v>
      </c>
      <c r="D1572" t="str">
        <f t="shared" si="49"/>
        <v>1.6 i</v>
      </c>
      <c r="E1572" t="s">
        <v>26</v>
      </c>
      <c r="F1572">
        <v>198501</v>
      </c>
      <c r="G1572">
        <v>199012</v>
      </c>
      <c r="H1572">
        <v>88</v>
      </c>
      <c r="I1572">
        <v>120</v>
      </c>
      <c r="J1572">
        <v>1590</v>
      </c>
      <c r="K1572">
        <v>3841537</v>
      </c>
      <c r="L1572" t="s">
        <v>419</v>
      </c>
      <c r="M1572" t="str">
        <f>"CRF45R"</f>
        <v>CRF45R</v>
      </c>
      <c r="N1572" t="str">
        <f>"CRF45R"</f>
        <v>CRF45R</v>
      </c>
      <c r="O1572" t="str">
        <f>""</f>
        <v/>
      </c>
      <c r="P1572" t="s">
        <v>561</v>
      </c>
      <c r="Q1572" t="str">
        <f>""</f>
        <v/>
      </c>
      <c r="S1572" t="s">
        <v>581</v>
      </c>
      <c r="U1572">
        <v>298</v>
      </c>
      <c r="V1572" t="s">
        <v>561</v>
      </c>
      <c r="W1572" t="s">
        <v>561</v>
      </c>
      <c r="X1572" t="s">
        <v>563</v>
      </c>
    </row>
    <row r="1573" spans="1:25">
      <c r="A1573">
        <v>13531</v>
      </c>
      <c r="B1573" t="s">
        <v>25</v>
      </c>
      <c r="C1573" t="str">
        <f t="shared" si="50"/>
        <v>INTEGRA Saloon</v>
      </c>
      <c r="D1573" t="str">
        <f t="shared" si="49"/>
        <v>1.6 i</v>
      </c>
      <c r="E1573" t="s">
        <v>26</v>
      </c>
      <c r="F1573">
        <v>198501</v>
      </c>
      <c r="G1573">
        <v>199012</v>
      </c>
      <c r="H1573">
        <v>88</v>
      </c>
      <c r="I1573">
        <v>120</v>
      </c>
      <c r="J1573">
        <v>1590</v>
      </c>
      <c r="K1573">
        <v>3842530</v>
      </c>
      <c r="L1573" t="s">
        <v>419</v>
      </c>
      <c r="M1573" t="str">
        <f>"CW45"</f>
        <v>CW45</v>
      </c>
      <c r="N1573" t="str">
        <f>"CW45"</f>
        <v>CW45</v>
      </c>
      <c r="O1573" t="str">
        <f>""</f>
        <v/>
      </c>
      <c r="P1573" t="s">
        <v>561</v>
      </c>
      <c r="Q1573" t="str">
        <f>""</f>
        <v/>
      </c>
      <c r="R1573" t="s">
        <v>578</v>
      </c>
      <c r="S1573" t="s">
        <v>581</v>
      </c>
      <c r="T1573" t="s">
        <v>582</v>
      </c>
      <c r="U1573">
        <v>298</v>
      </c>
      <c r="V1573" t="s">
        <v>561</v>
      </c>
      <c r="W1573" t="s">
        <v>561</v>
      </c>
      <c r="X1573" t="s">
        <v>563</v>
      </c>
    </row>
    <row r="1574" spans="1:25">
      <c r="A1574">
        <v>13531</v>
      </c>
      <c r="B1574" t="s">
        <v>25</v>
      </c>
      <c r="C1574" t="str">
        <f t="shared" si="50"/>
        <v>INTEGRA Saloon</v>
      </c>
      <c r="D1574" t="str">
        <f t="shared" si="49"/>
        <v>1.6 i</v>
      </c>
      <c r="E1574" t="s">
        <v>26</v>
      </c>
      <c r="F1574">
        <v>198501</v>
      </c>
      <c r="G1574">
        <v>199012</v>
      </c>
      <c r="H1574">
        <v>88</v>
      </c>
      <c r="I1574">
        <v>120</v>
      </c>
      <c r="J1574">
        <v>1590</v>
      </c>
      <c r="K1574">
        <v>3975534</v>
      </c>
      <c r="L1574" t="s">
        <v>27</v>
      </c>
      <c r="M1574" t="str">
        <f>"WA018"</f>
        <v>WA018</v>
      </c>
      <c r="N1574" t="str">
        <f>"WA018"</f>
        <v>WA018</v>
      </c>
      <c r="O1574" t="str">
        <f>""</f>
        <v/>
      </c>
      <c r="P1574" t="s">
        <v>561</v>
      </c>
      <c r="Q1574" t="str">
        <f>"8718993423387"</f>
        <v>8718993423387</v>
      </c>
      <c r="R1574" t="s">
        <v>583</v>
      </c>
      <c r="T1574" s="1" t="s">
        <v>584</v>
      </c>
      <c r="U1574">
        <v>298</v>
      </c>
      <c r="V1574" t="s">
        <v>561</v>
      </c>
      <c r="W1574" t="s">
        <v>561</v>
      </c>
      <c r="X1574" t="s">
        <v>563</v>
      </c>
    </row>
    <row r="1575" spans="1:25">
      <c r="A1575">
        <v>13531</v>
      </c>
      <c r="B1575" t="s">
        <v>25</v>
      </c>
      <c r="C1575" t="str">
        <f t="shared" si="50"/>
        <v>INTEGRA Saloon</v>
      </c>
      <c r="D1575" t="str">
        <f t="shared" si="49"/>
        <v>1.6 i</v>
      </c>
      <c r="E1575" t="s">
        <v>26</v>
      </c>
      <c r="F1575">
        <v>198501</v>
      </c>
      <c r="G1575">
        <v>199012</v>
      </c>
      <c r="H1575">
        <v>88</v>
      </c>
      <c r="I1575">
        <v>120</v>
      </c>
      <c r="J1575">
        <v>1590</v>
      </c>
      <c r="K1575">
        <v>3975566</v>
      </c>
      <c r="L1575" t="s">
        <v>27</v>
      </c>
      <c r="M1575" t="str">
        <f>"WAF18"</f>
        <v>WAF18</v>
      </c>
      <c r="N1575" t="str">
        <f>"WAF18"</f>
        <v>WAF18</v>
      </c>
      <c r="O1575" t="str">
        <f>""</f>
        <v/>
      </c>
      <c r="P1575" t="s">
        <v>561</v>
      </c>
      <c r="Q1575" t="str">
        <f>"8718993424087"</f>
        <v>8718993424087</v>
      </c>
      <c r="R1575" t="s">
        <v>585</v>
      </c>
      <c r="T1575" t="s">
        <v>586</v>
      </c>
      <c r="U1575">
        <v>298</v>
      </c>
      <c r="V1575" t="s">
        <v>561</v>
      </c>
      <c r="W1575" t="s">
        <v>561</v>
      </c>
      <c r="X1575" t="s">
        <v>563</v>
      </c>
    </row>
    <row r="1576" spans="1:25">
      <c r="A1576">
        <v>13531</v>
      </c>
      <c r="B1576" t="s">
        <v>25</v>
      </c>
      <c r="C1576" t="str">
        <f t="shared" si="50"/>
        <v>INTEGRA Saloon</v>
      </c>
      <c r="D1576" t="str">
        <f t="shared" si="49"/>
        <v>1.6 i</v>
      </c>
      <c r="E1576" t="s">
        <v>26</v>
      </c>
      <c r="F1576">
        <v>198501</v>
      </c>
      <c r="G1576">
        <v>199012</v>
      </c>
      <c r="H1576">
        <v>88</v>
      </c>
      <c r="I1576">
        <v>120</v>
      </c>
      <c r="J1576">
        <v>1590</v>
      </c>
      <c r="K1576">
        <v>4415614</v>
      </c>
      <c r="L1576" t="s">
        <v>193</v>
      </c>
      <c r="M1576" t="str">
        <f>"450L"</f>
        <v>450L</v>
      </c>
      <c r="N1576" t="str">
        <f>"450L"</f>
        <v>450L</v>
      </c>
      <c r="O1576" t="str">
        <f>""</f>
        <v/>
      </c>
      <c r="P1576" t="s">
        <v>561</v>
      </c>
      <c r="Q1576" t="str">
        <f>"4905601036877"</f>
        <v>4905601036877</v>
      </c>
      <c r="R1576" t="s">
        <v>587</v>
      </c>
      <c r="S1576" t="s">
        <v>568</v>
      </c>
      <c r="T1576" s="1" t="s">
        <v>1657</v>
      </c>
      <c r="U1576">
        <v>298</v>
      </c>
      <c r="V1576" t="s">
        <v>561</v>
      </c>
      <c r="W1576" t="s">
        <v>561</v>
      </c>
      <c r="X1576" t="s">
        <v>563</v>
      </c>
    </row>
    <row r="1577" spans="1:25">
      <c r="A1577">
        <v>13531</v>
      </c>
      <c r="B1577" t="s">
        <v>25</v>
      </c>
      <c r="C1577" t="str">
        <f t="shared" si="50"/>
        <v>INTEGRA Saloon</v>
      </c>
      <c r="D1577" t="str">
        <f t="shared" si="49"/>
        <v>1.6 i</v>
      </c>
      <c r="E1577" t="s">
        <v>26</v>
      </c>
      <c r="F1577">
        <v>198501</v>
      </c>
      <c r="G1577">
        <v>199012</v>
      </c>
      <c r="H1577">
        <v>88</v>
      </c>
      <c r="I1577">
        <v>120</v>
      </c>
      <c r="J1577">
        <v>1590</v>
      </c>
      <c r="K1577">
        <v>4427290</v>
      </c>
      <c r="L1577" t="s">
        <v>193</v>
      </c>
      <c r="M1577" t="str">
        <f>"LW450"</f>
        <v>LW450</v>
      </c>
      <c r="N1577" t="str">
        <f>"LW450"</f>
        <v>LW450</v>
      </c>
      <c r="O1577" t="str">
        <f>""</f>
        <v/>
      </c>
      <c r="P1577" t="s">
        <v>561</v>
      </c>
      <c r="Q1577" t="str">
        <f>"4905601012956"</f>
        <v>4905601012956</v>
      </c>
      <c r="R1577" t="s">
        <v>589</v>
      </c>
      <c r="S1577" t="s">
        <v>568</v>
      </c>
      <c r="T1577" s="1" t="s">
        <v>588</v>
      </c>
      <c r="U1577">
        <v>298</v>
      </c>
      <c r="V1577" t="s">
        <v>561</v>
      </c>
      <c r="W1577" t="s">
        <v>561</v>
      </c>
      <c r="X1577" t="s">
        <v>563</v>
      </c>
    </row>
    <row r="1578" spans="1:25">
      <c r="A1578">
        <v>13531</v>
      </c>
      <c r="B1578" t="s">
        <v>25</v>
      </c>
      <c r="C1578" t="str">
        <f t="shared" si="50"/>
        <v>INTEGRA Saloon</v>
      </c>
      <c r="D1578" t="str">
        <f t="shared" si="49"/>
        <v>1.6 i</v>
      </c>
      <c r="E1578" t="s">
        <v>26</v>
      </c>
      <c r="F1578">
        <v>198501</v>
      </c>
      <c r="G1578">
        <v>199012</v>
      </c>
      <c r="H1578">
        <v>88</v>
      </c>
      <c r="I1578">
        <v>120</v>
      </c>
      <c r="J1578">
        <v>1590</v>
      </c>
      <c r="K1578">
        <v>4427301</v>
      </c>
      <c r="L1578" t="s">
        <v>193</v>
      </c>
      <c r="M1578" t="str">
        <f>"LX450"</f>
        <v>LX450</v>
      </c>
      <c r="N1578" t="str">
        <f>"LX450"</f>
        <v>LX450</v>
      </c>
      <c r="O1578" t="str">
        <f>""</f>
        <v/>
      </c>
      <c r="P1578" t="s">
        <v>561</v>
      </c>
      <c r="Q1578" t="str">
        <f>"4905601059296"</f>
        <v>4905601059296</v>
      </c>
      <c r="R1578" t="s">
        <v>589</v>
      </c>
      <c r="S1578" t="s">
        <v>568</v>
      </c>
      <c r="T1578" s="1" t="s">
        <v>590</v>
      </c>
      <c r="U1578">
        <v>298</v>
      </c>
      <c r="V1578" t="s">
        <v>561</v>
      </c>
      <c r="W1578" t="s">
        <v>561</v>
      </c>
      <c r="X1578" t="s">
        <v>563</v>
      </c>
    </row>
    <row r="1579" spans="1:25">
      <c r="A1579">
        <v>13531</v>
      </c>
      <c r="B1579" t="s">
        <v>25</v>
      </c>
      <c r="C1579" t="str">
        <f t="shared" si="50"/>
        <v>INTEGRA Saloon</v>
      </c>
      <c r="D1579" t="str">
        <f t="shared" si="49"/>
        <v>1.6 i</v>
      </c>
      <c r="E1579" t="s">
        <v>26</v>
      </c>
      <c r="F1579">
        <v>198501</v>
      </c>
      <c r="G1579">
        <v>199012</v>
      </c>
      <c r="H1579">
        <v>88</v>
      </c>
      <c r="I1579">
        <v>120</v>
      </c>
      <c r="J1579">
        <v>1590</v>
      </c>
      <c r="K1579">
        <v>4431507</v>
      </c>
      <c r="L1579" t="s">
        <v>193</v>
      </c>
      <c r="M1579" t="str">
        <f>"XF450"</f>
        <v>XF450</v>
      </c>
      <c r="N1579" t="str">
        <f>"XF450"</f>
        <v>XF450</v>
      </c>
      <c r="O1579" t="str">
        <f>""</f>
        <v/>
      </c>
      <c r="P1579" t="s">
        <v>561</v>
      </c>
      <c r="Q1579" t="str">
        <f>"4905601032411"</f>
        <v>4905601032411</v>
      </c>
      <c r="R1579" t="s">
        <v>591</v>
      </c>
      <c r="S1579" t="s">
        <v>566</v>
      </c>
      <c r="T1579" s="1" t="s">
        <v>592</v>
      </c>
      <c r="U1579">
        <v>298</v>
      </c>
      <c r="V1579" t="s">
        <v>561</v>
      </c>
      <c r="W1579" t="s">
        <v>561</v>
      </c>
      <c r="X1579" t="s">
        <v>563</v>
      </c>
    </row>
    <row r="1580" spans="1:25">
      <c r="A1580">
        <v>13531</v>
      </c>
      <c r="B1580" t="s">
        <v>25</v>
      </c>
      <c r="C1580" t="str">
        <f t="shared" si="50"/>
        <v>INTEGRA Saloon</v>
      </c>
      <c r="D1580" t="str">
        <f t="shared" si="49"/>
        <v>1.6 i</v>
      </c>
      <c r="E1580" t="s">
        <v>26</v>
      </c>
      <c r="F1580">
        <v>198501</v>
      </c>
      <c r="G1580">
        <v>199012</v>
      </c>
      <c r="H1580">
        <v>88</v>
      </c>
      <c r="I1580">
        <v>120</v>
      </c>
      <c r="J1580">
        <v>1590</v>
      </c>
      <c r="K1580">
        <v>3024847</v>
      </c>
      <c r="L1580" t="s">
        <v>33</v>
      </c>
      <c r="M1580" t="str">
        <f>"J1030715"</f>
        <v>J1030715</v>
      </c>
      <c r="N1580" t="str">
        <f>"J1030715"</f>
        <v>J1030715</v>
      </c>
      <c r="O1580" t="str">
        <f>""</f>
        <v/>
      </c>
      <c r="P1580" t="s">
        <v>593</v>
      </c>
      <c r="Q1580" t="str">
        <f>"8711768022488"</f>
        <v>8711768022488</v>
      </c>
      <c r="R1580" t="s">
        <v>1658</v>
      </c>
      <c r="S1580" t="s">
        <v>595</v>
      </c>
      <c r="T1580" t="s">
        <v>1659</v>
      </c>
      <c r="U1580">
        <v>305</v>
      </c>
      <c r="V1580" t="s">
        <v>593</v>
      </c>
      <c r="W1580" t="s">
        <v>177</v>
      </c>
      <c r="X1580" t="s">
        <v>178</v>
      </c>
      <c r="Y1580" t="s">
        <v>597</v>
      </c>
    </row>
    <row r="1581" spans="1:25">
      <c r="A1581">
        <v>13531</v>
      </c>
      <c r="B1581" t="s">
        <v>25</v>
      </c>
      <c r="C1581" t="str">
        <f t="shared" si="50"/>
        <v>INTEGRA Saloon</v>
      </c>
      <c r="D1581" t="str">
        <f t="shared" si="49"/>
        <v>1.6 i</v>
      </c>
      <c r="E1581" t="s">
        <v>26</v>
      </c>
      <c r="F1581">
        <v>198501</v>
      </c>
      <c r="G1581">
        <v>199012</v>
      </c>
      <c r="H1581">
        <v>88</v>
      </c>
      <c r="I1581">
        <v>120</v>
      </c>
      <c r="J1581">
        <v>1590</v>
      </c>
      <c r="K1581">
        <v>1784046</v>
      </c>
      <c r="L1581" t="s">
        <v>930</v>
      </c>
      <c r="M1581" t="str">
        <f>"QTB252"</f>
        <v>QTB252</v>
      </c>
      <c r="N1581" t="str">
        <f>"QTB252"</f>
        <v>QTB252</v>
      </c>
      <c r="O1581" t="str">
        <f>""</f>
        <v/>
      </c>
      <c r="P1581" t="s">
        <v>599</v>
      </c>
      <c r="Q1581" t="str">
        <f>"5016593167872"</f>
        <v>5016593167872</v>
      </c>
      <c r="R1581" t="s">
        <v>601</v>
      </c>
      <c r="T1581" s="1" t="s">
        <v>1660</v>
      </c>
      <c r="U1581">
        <v>306</v>
      </c>
      <c r="V1581" t="s">
        <v>599</v>
      </c>
      <c r="W1581" t="s">
        <v>177</v>
      </c>
      <c r="X1581" t="s">
        <v>178</v>
      </c>
      <c r="Y1581" t="s">
        <v>599</v>
      </c>
    </row>
    <row r="1582" spans="1:25">
      <c r="A1582">
        <v>13531</v>
      </c>
      <c r="B1582" t="s">
        <v>25</v>
      </c>
      <c r="C1582" t="str">
        <f t="shared" si="50"/>
        <v>INTEGRA Saloon</v>
      </c>
      <c r="D1582" t="str">
        <f t="shared" si="49"/>
        <v>1.6 i</v>
      </c>
      <c r="E1582" t="s">
        <v>26</v>
      </c>
      <c r="F1582">
        <v>198501</v>
      </c>
      <c r="G1582">
        <v>199012</v>
      </c>
      <c r="H1582">
        <v>88</v>
      </c>
      <c r="I1582">
        <v>120</v>
      </c>
      <c r="J1582">
        <v>1590</v>
      </c>
      <c r="K1582">
        <v>3025509</v>
      </c>
      <c r="L1582" t="s">
        <v>33</v>
      </c>
      <c r="M1582" t="str">
        <f>"J1124008"</f>
        <v>J1124008</v>
      </c>
      <c r="N1582" t="str">
        <f>"J1124008"</f>
        <v>J1124008</v>
      </c>
      <c r="O1582" t="str">
        <f>""</f>
        <v/>
      </c>
      <c r="P1582" t="s">
        <v>599</v>
      </c>
      <c r="Q1582" t="str">
        <f>"8711768024765"</f>
        <v>8711768024765</v>
      </c>
      <c r="R1582" t="s">
        <v>1372</v>
      </c>
      <c r="S1582" t="s">
        <v>604</v>
      </c>
      <c r="T1582" t="s">
        <v>1373</v>
      </c>
      <c r="U1582">
        <v>306</v>
      </c>
      <c r="V1582" t="s">
        <v>599</v>
      </c>
      <c r="W1582" t="s">
        <v>177</v>
      </c>
      <c r="X1582" t="s">
        <v>178</v>
      </c>
      <c r="Y1582" t="s">
        <v>599</v>
      </c>
    </row>
    <row r="1583" spans="1:25">
      <c r="A1583">
        <v>13531</v>
      </c>
      <c r="B1583" t="s">
        <v>25</v>
      </c>
      <c r="C1583" t="str">
        <f t="shared" si="50"/>
        <v>INTEGRA Saloon</v>
      </c>
      <c r="D1583" t="str">
        <f t="shared" si="49"/>
        <v>1.6 i</v>
      </c>
      <c r="E1583" t="s">
        <v>26</v>
      </c>
      <c r="F1583">
        <v>198501</v>
      </c>
      <c r="G1583">
        <v>199012</v>
      </c>
      <c r="H1583">
        <v>88</v>
      </c>
      <c r="I1583">
        <v>120</v>
      </c>
      <c r="J1583">
        <v>1590</v>
      </c>
      <c r="K1583">
        <v>3963935</v>
      </c>
      <c r="L1583" t="s">
        <v>27</v>
      </c>
      <c r="M1583" t="str">
        <f>"H10442"</f>
        <v>H10442</v>
      </c>
      <c r="N1583" t="str">
        <f>"H104-42"</f>
        <v>H104-42</v>
      </c>
      <c r="O1583" t="str">
        <f>""</f>
        <v/>
      </c>
      <c r="P1583" t="s">
        <v>599</v>
      </c>
      <c r="Q1583" t="str">
        <f>"8718993210055"</f>
        <v>8718993210055</v>
      </c>
      <c r="R1583" t="s">
        <v>1374</v>
      </c>
      <c r="S1583" t="s">
        <v>604</v>
      </c>
      <c r="T1583" s="1" t="s">
        <v>1375</v>
      </c>
      <c r="U1583">
        <v>306</v>
      </c>
      <c r="V1583" t="s">
        <v>599</v>
      </c>
      <c r="W1583" t="s">
        <v>177</v>
      </c>
      <c r="X1583" t="s">
        <v>178</v>
      </c>
      <c r="Y1583" t="s">
        <v>599</v>
      </c>
    </row>
    <row r="1584" spans="1:25">
      <c r="A1584">
        <v>13531</v>
      </c>
      <c r="B1584" t="s">
        <v>25</v>
      </c>
      <c r="C1584" t="str">
        <f t="shared" si="50"/>
        <v>INTEGRA Saloon</v>
      </c>
      <c r="D1584" t="str">
        <f t="shared" si="49"/>
        <v>1.6 i</v>
      </c>
      <c r="E1584" t="s">
        <v>26</v>
      </c>
      <c r="F1584">
        <v>198501</v>
      </c>
      <c r="G1584">
        <v>199012</v>
      </c>
      <c r="H1584">
        <v>88</v>
      </c>
      <c r="I1584">
        <v>120</v>
      </c>
      <c r="J1584">
        <v>1590</v>
      </c>
      <c r="K1584">
        <v>1761525</v>
      </c>
      <c r="L1584" t="s">
        <v>930</v>
      </c>
      <c r="M1584" t="str">
        <f>"QBK485"</f>
        <v>QBK485</v>
      </c>
      <c r="N1584" t="str">
        <f>"QBK485"</f>
        <v>QBK485</v>
      </c>
      <c r="O1584" t="str">
        <f>""</f>
        <v/>
      </c>
      <c r="P1584" t="s">
        <v>608</v>
      </c>
      <c r="Q1584" t="str">
        <f>"5016593878853"</f>
        <v>5016593878853</v>
      </c>
      <c r="R1584" t="s">
        <v>1661</v>
      </c>
      <c r="T1584" t="s">
        <v>1662</v>
      </c>
      <c r="U1584">
        <v>307</v>
      </c>
      <c r="V1584" t="s">
        <v>608</v>
      </c>
      <c r="W1584" t="s">
        <v>610</v>
      </c>
      <c r="X1584" t="s">
        <v>178</v>
      </c>
      <c r="Y1584" t="s">
        <v>599</v>
      </c>
    </row>
    <row r="1585" spans="1:25">
      <c r="A1585">
        <v>13531</v>
      </c>
      <c r="B1585" t="s">
        <v>25</v>
      </c>
      <c r="C1585" t="str">
        <f t="shared" si="50"/>
        <v>INTEGRA Saloon</v>
      </c>
      <c r="D1585" t="str">
        <f t="shared" si="49"/>
        <v>1.6 i</v>
      </c>
      <c r="E1585" t="s">
        <v>26</v>
      </c>
      <c r="F1585">
        <v>198501</v>
      </c>
      <c r="G1585">
        <v>199012</v>
      </c>
      <c r="H1585">
        <v>88</v>
      </c>
      <c r="I1585">
        <v>120</v>
      </c>
      <c r="J1585">
        <v>1590</v>
      </c>
      <c r="K1585">
        <v>3025275</v>
      </c>
      <c r="L1585" t="s">
        <v>33</v>
      </c>
      <c r="M1585" t="str">
        <f>"J1114014"</f>
        <v>J1114014</v>
      </c>
      <c r="N1585" t="str">
        <f>"J1114014"</f>
        <v>J1114014</v>
      </c>
      <c r="O1585" t="str">
        <f>""</f>
        <v/>
      </c>
      <c r="P1585" t="s">
        <v>608</v>
      </c>
      <c r="Q1585" t="str">
        <f>"8711768023805"</f>
        <v>8711768023805</v>
      </c>
      <c r="S1585" t="s">
        <v>600</v>
      </c>
      <c r="T1585" t="s">
        <v>1376</v>
      </c>
      <c r="U1585">
        <v>307</v>
      </c>
      <c r="V1585" t="s">
        <v>608</v>
      </c>
      <c r="W1585" t="s">
        <v>610</v>
      </c>
      <c r="X1585" t="s">
        <v>178</v>
      </c>
      <c r="Y1585" t="s">
        <v>599</v>
      </c>
    </row>
    <row r="1586" spans="1:25">
      <c r="A1586">
        <v>13531</v>
      </c>
      <c r="B1586" t="s">
        <v>25</v>
      </c>
      <c r="C1586" t="str">
        <f t="shared" si="50"/>
        <v>INTEGRA Saloon</v>
      </c>
      <c r="D1586" t="str">
        <f t="shared" si="49"/>
        <v>1.6 i</v>
      </c>
      <c r="E1586" t="s">
        <v>26</v>
      </c>
      <c r="F1586">
        <v>198501</v>
      </c>
      <c r="G1586">
        <v>199012</v>
      </c>
      <c r="H1586">
        <v>88</v>
      </c>
      <c r="I1586">
        <v>120</v>
      </c>
      <c r="J1586">
        <v>1590</v>
      </c>
      <c r="K1586">
        <v>3963946</v>
      </c>
      <c r="L1586" t="s">
        <v>27</v>
      </c>
      <c r="M1586" t="str">
        <f>"H10476"</f>
        <v>H10476</v>
      </c>
      <c r="N1586" t="str">
        <f>"H104-76"</f>
        <v>H104-76</v>
      </c>
      <c r="O1586" t="str">
        <f>""</f>
        <v/>
      </c>
      <c r="P1586" t="s">
        <v>608</v>
      </c>
      <c r="Q1586" t="str">
        <f>""</f>
        <v/>
      </c>
      <c r="S1586" t="s">
        <v>600</v>
      </c>
      <c r="T1586" t="s">
        <v>1377</v>
      </c>
      <c r="U1586">
        <v>307</v>
      </c>
      <c r="V1586" t="s">
        <v>608</v>
      </c>
      <c r="W1586" t="s">
        <v>610</v>
      </c>
      <c r="X1586" t="s">
        <v>178</v>
      </c>
      <c r="Y1586" t="s">
        <v>599</v>
      </c>
    </row>
    <row r="1587" spans="1:25">
      <c r="A1587">
        <v>13531</v>
      </c>
      <c r="B1587" t="s">
        <v>25</v>
      </c>
      <c r="C1587" t="str">
        <f t="shared" si="50"/>
        <v>INTEGRA Saloon</v>
      </c>
      <c r="D1587" t="str">
        <f t="shared" si="49"/>
        <v>1.6 i</v>
      </c>
      <c r="E1587" t="s">
        <v>26</v>
      </c>
      <c r="F1587">
        <v>198501</v>
      </c>
      <c r="G1587">
        <v>199012</v>
      </c>
      <c r="H1587">
        <v>88</v>
      </c>
      <c r="I1587">
        <v>120</v>
      </c>
      <c r="J1587">
        <v>1590</v>
      </c>
      <c r="K1587">
        <v>1786364</v>
      </c>
      <c r="L1587" t="s">
        <v>930</v>
      </c>
      <c r="M1587" t="str">
        <f>"QTT320"</f>
        <v>QTT320</v>
      </c>
      <c r="N1587" t="str">
        <f>"QTT320"</f>
        <v>QTT320</v>
      </c>
      <c r="O1587" t="str">
        <f>""</f>
        <v/>
      </c>
      <c r="P1587" t="s">
        <v>612</v>
      </c>
      <c r="Q1587" t="str">
        <f>"5016593365230"</f>
        <v>5016593365230</v>
      </c>
      <c r="R1587" t="s">
        <v>1663</v>
      </c>
      <c r="T1587" t="s">
        <v>1664</v>
      </c>
      <c r="U1587">
        <v>308</v>
      </c>
      <c r="V1587" t="s">
        <v>612</v>
      </c>
      <c r="W1587" t="s">
        <v>615</v>
      </c>
      <c r="X1587" t="s">
        <v>178</v>
      </c>
      <c r="Y1587" t="s">
        <v>616</v>
      </c>
    </row>
    <row r="1588" spans="1:25">
      <c r="A1588">
        <v>13531</v>
      </c>
      <c r="B1588" t="s">
        <v>25</v>
      </c>
      <c r="C1588" t="str">
        <f t="shared" si="50"/>
        <v>INTEGRA Saloon</v>
      </c>
      <c r="D1588" t="str">
        <f t="shared" si="49"/>
        <v>1.6 i</v>
      </c>
      <c r="E1588" t="s">
        <v>26</v>
      </c>
      <c r="F1588">
        <v>198501</v>
      </c>
      <c r="G1588">
        <v>199012</v>
      </c>
      <c r="H1588">
        <v>88</v>
      </c>
      <c r="I1588">
        <v>120</v>
      </c>
      <c r="J1588">
        <v>1590</v>
      </c>
      <c r="K1588">
        <v>3025842</v>
      </c>
      <c r="L1588" t="s">
        <v>33</v>
      </c>
      <c r="M1588" t="str">
        <f>"J1144012"</f>
        <v>J1144012</v>
      </c>
      <c r="N1588" t="str">
        <f>"J1144012"</f>
        <v>J1144012</v>
      </c>
      <c r="O1588" t="str">
        <f>""</f>
        <v/>
      </c>
      <c r="P1588" t="s">
        <v>612</v>
      </c>
      <c r="Q1588" t="str">
        <f>"8711768026950"</f>
        <v>8711768026950</v>
      </c>
      <c r="S1588" t="s">
        <v>613</v>
      </c>
      <c r="T1588" t="s">
        <v>1378</v>
      </c>
      <c r="U1588">
        <v>308</v>
      </c>
      <c r="V1588" t="s">
        <v>612</v>
      </c>
      <c r="W1588" t="s">
        <v>615</v>
      </c>
      <c r="X1588" t="s">
        <v>178</v>
      </c>
      <c r="Y1588" t="s">
        <v>616</v>
      </c>
    </row>
    <row r="1589" spans="1:25">
      <c r="A1589">
        <v>13531</v>
      </c>
      <c r="B1589" t="s">
        <v>25</v>
      </c>
      <c r="C1589" t="str">
        <f t="shared" si="50"/>
        <v>INTEGRA Saloon</v>
      </c>
      <c r="D1589" t="str">
        <f t="shared" si="49"/>
        <v>1.6 i</v>
      </c>
      <c r="E1589" t="s">
        <v>26</v>
      </c>
      <c r="F1589">
        <v>198501</v>
      </c>
      <c r="G1589">
        <v>199012</v>
      </c>
      <c r="H1589">
        <v>88</v>
      </c>
      <c r="I1589">
        <v>120</v>
      </c>
      <c r="J1589">
        <v>1590</v>
      </c>
      <c r="K1589">
        <v>3951965</v>
      </c>
      <c r="L1589" t="s">
        <v>27</v>
      </c>
      <c r="M1589" t="str">
        <f>"03422104"</f>
        <v>03422104</v>
      </c>
      <c r="N1589" t="str">
        <f>"0342-2104"</f>
        <v>0342-2104</v>
      </c>
      <c r="O1589" t="str">
        <f>""</f>
        <v/>
      </c>
      <c r="P1589" t="s">
        <v>612</v>
      </c>
      <c r="Q1589" t="str">
        <f>"8718993004197"</f>
        <v>8718993004197</v>
      </c>
      <c r="R1589" t="s">
        <v>1379</v>
      </c>
      <c r="S1589" t="s">
        <v>618</v>
      </c>
      <c r="T1589" s="1" t="s">
        <v>1665</v>
      </c>
      <c r="U1589">
        <v>308</v>
      </c>
      <c r="V1589" t="s">
        <v>612</v>
      </c>
      <c r="W1589" t="s">
        <v>615</v>
      </c>
      <c r="X1589" t="s">
        <v>178</v>
      </c>
      <c r="Y1589" t="s">
        <v>616</v>
      </c>
    </row>
    <row r="1590" spans="1:25">
      <c r="A1590">
        <v>13531</v>
      </c>
      <c r="B1590" t="s">
        <v>25</v>
      </c>
      <c r="C1590" t="str">
        <f t="shared" si="50"/>
        <v>INTEGRA Saloon</v>
      </c>
      <c r="D1590" t="str">
        <f t="shared" si="49"/>
        <v>1.6 i</v>
      </c>
      <c r="E1590" t="s">
        <v>26</v>
      </c>
      <c r="F1590">
        <v>198501</v>
      </c>
      <c r="G1590">
        <v>199012</v>
      </c>
      <c r="H1590">
        <v>88</v>
      </c>
      <c r="I1590">
        <v>120</v>
      </c>
      <c r="J1590">
        <v>1590</v>
      </c>
      <c r="K1590">
        <v>1536701</v>
      </c>
      <c r="L1590" t="s">
        <v>173</v>
      </c>
      <c r="M1590" t="str">
        <f>"TH14178G2"</f>
        <v>TH14178G2</v>
      </c>
      <c r="N1590" t="str">
        <f>"TH14178G2"</f>
        <v>TH14178G2</v>
      </c>
      <c r="O1590" t="str">
        <f>""</f>
        <v/>
      </c>
      <c r="P1590" t="s">
        <v>622</v>
      </c>
      <c r="Q1590" t="str">
        <f>"5414465401558"</f>
        <v>5414465401558</v>
      </c>
      <c r="R1590" t="s">
        <v>623</v>
      </c>
      <c r="T1590" s="1" t="s">
        <v>624</v>
      </c>
      <c r="U1590">
        <v>316</v>
      </c>
      <c r="V1590" t="s">
        <v>622</v>
      </c>
      <c r="W1590" t="s">
        <v>625</v>
      </c>
      <c r="X1590" t="s">
        <v>626</v>
      </c>
      <c r="Y1590" t="s">
        <v>627</v>
      </c>
    </row>
    <row r="1591" spans="1:25">
      <c r="A1591">
        <v>13531</v>
      </c>
      <c r="B1591" t="s">
        <v>25</v>
      </c>
      <c r="C1591" t="str">
        <f t="shared" si="50"/>
        <v>INTEGRA Saloon</v>
      </c>
      <c r="D1591" t="str">
        <f t="shared" ref="D1591:D1654" si="51">"1.6 i"</f>
        <v>1.6 i</v>
      </c>
      <c r="E1591" t="s">
        <v>26</v>
      </c>
      <c r="F1591">
        <v>198501</v>
      </c>
      <c r="G1591">
        <v>199012</v>
      </c>
      <c r="H1591">
        <v>88</v>
      </c>
      <c r="I1591">
        <v>120</v>
      </c>
      <c r="J1591">
        <v>1590</v>
      </c>
      <c r="K1591">
        <v>3027626</v>
      </c>
      <c r="L1591" t="s">
        <v>33</v>
      </c>
      <c r="M1591" t="str">
        <f>"J1534001"</f>
        <v>J1534001</v>
      </c>
      <c r="N1591" t="str">
        <f>"J1534001"</f>
        <v>J1534001</v>
      </c>
      <c r="O1591" t="str">
        <f>""</f>
        <v/>
      </c>
      <c r="P1591" t="s">
        <v>622</v>
      </c>
      <c r="Q1591" t="str">
        <f>"8711768039264"</f>
        <v>8711768039264</v>
      </c>
      <c r="R1591" t="s">
        <v>628</v>
      </c>
      <c r="T1591" t="s">
        <v>629</v>
      </c>
      <c r="U1591">
        <v>316</v>
      </c>
      <c r="V1591" t="s">
        <v>622</v>
      </c>
      <c r="W1591" t="s">
        <v>625</v>
      </c>
      <c r="X1591" t="s">
        <v>626</v>
      </c>
      <c r="Y1591" t="s">
        <v>627</v>
      </c>
    </row>
    <row r="1592" spans="1:25">
      <c r="A1592">
        <v>13531</v>
      </c>
      <c r="B1592" t="s">
        <v>25</v>
      </c>
      <c r="C1592" t="str">
        <f t="shared" si="50"/>
        <v>INTEGRA Saloon</v>
      </c>
      <c r="D1592" t="str">
        <f t="shared" si="51"/>
        <v>1.6 i</v>
      </c>
      <c r="E1592" t="s">
        <v>26</v>
      </c>
      <c r="F1592">
        <v>198501</v>
      </c>
      <c r="G1592">
        <v>199012</v>
      </c>
      <c r="H1592">
        <v>88</v>
      </c>
      <c r="I1592">
        <v>120</v>
      </c>
      <c r="J1592">
        <v>1590</v>
      </c>
      <c r="K1592">
        <v>3963953</v>
      </c>
      <c r="L1592" t="s">
        <v>27</v>
      </c>
      <c r="M1592" t="str">
        <f>"H10603"</f>
        <v>H10603</v>
      </c>
      <c r="N1592" t="str">
        <f>"H106-03"</f>
        <v>H106-03</v>
      </c>
      <c r="O1592" t="str">
        <f>""</f>
        <v/>
      </c>
      <c r="P1592" t="s">
        <v>622</v>
      </c>
      <c r="Q1592" t="str">
        <f>"8718993210246"</f>
        <v>8718993210246</v>
      </c>
      <c r="R1592" t="s">
        <v>634</v>
      </c>
      <c r="T1592" s="1" t="s">
        <v>1382</v>
      </c>
      <c r="U1592">
        <v>316</v>
      </c>
      <c r="V1592" t="s">
        <v>622</v>
      </c>
      <c r="W1592" t="s">
        <v>625</v>
      </c>
      <c r="X1592" t="s">
        <v>626</v>
      </c>
      <c r="Y1592" t="s">
        <v>627</v>
      </c>
    </row>
    <row r="1593" spans="1:25">
      <c r="A1593">
        <v>13531</v>
      </c>
      <c r="B1593" t="s">
        <v>25</v>
      </c>
      <c r="C1593" t="str">
        <f t="shared" si="50"/>
        <v>INTEGRA Saloon</v>
      </c>
      <c r="D1593" t="str">
        <f t="shared" si="51"/>
        <v>1.6 i</v>
      </c>
      <c r="E1593" t="s">
        <v>26</v>
      </c>
      <c r="F1593">
        <v>198501</v>
      </c>
      <c r="G1593">
        <v>199012</v>
      </c>
      <c r="H1593">
        <v>88</v>
      </c>
      <c r="I1593">
        <v>120</v>
      </c>
      <c r="J1593">
        <v>1590</v>
      </c>
      <c r="K1593">
        <v>1136144</v>
      </c>
      <c r="L1593" t="s">
        <v>659</v>
      </c>
      <c r="M1593" t="str">
        <f>"056290"</f>
        <v>056290</v>
      </c>
      <c r="N1593" t="str">
        <f>"056.290"</f>
        <v>056.290</v>
      </c>
      <c r="O1593" t="str">
        <f>""</f>
        <v/>
      </c>
      <c r="P1593" t="s">
        <v>637</v>
      </c>
      <c r="Q1593" t="str">
        <f>"4041248143261"</f>
        <v>4041248143261</v>
      </c>
      <c r="R1593" t="s">
        <v>1666</v>
      </c>
      <c r="T1593" t="s">
        <v>1667</v>
      </c>
      <c r="U1593">
        <v>318</v>
      </c>
      <c r="V1593" t="s">
        <v>637</v>
      </c>
      <c r="W1593" t="s">
        <v>640</v>
      </c>
      <c r="X1593" t="s">
        <v>641</v>
      </c>
      <c r="Y1593" t="s">
        <v>642</v>
      </c>
    </row>
    <row r="1594" spans="1:25">
      <c r="A1594">
        <v>13531</v>
      </c>
      <c r="B1594" t="s">
        <v>25</v>
      </c>
      <c r="C1594" t="str">
        <f t="shared" si="50"/>
        <v>INTEGRA Saloon</v>
      </c>
      <c r="D1594" t="str">
        <f t="shared" si="51"/>
        <v>1.6 i</v>
      </c>
      <c r="E1594" t="s">
        <v>26</v>
      </c>
      <c r="F1594">
        <v>198501</v>
      </c>
      <c r="G1594">
        <v>199012</v>
      </c>
      <c r="H1594">
        <v>88</v>
      </c>
      <c r="I1594">
        <v>120</v>
      </c>
      <c r="J1594">
        <v>1590</v>
      </c>
      <c r="K1594">
        <v>2249451</v>
      </c>
      <c r="L1594" t="s">
        <v>636</v>
      </c>
      <c r="M1594" t="str">
        <f>"BV350"</f>
        <v>BV350</v>
      </c>
      <c r="N1594" t="str">
        <f>"BV350"</f>
        <v>BV350</v>
      </c>
      <c r="O1594" t="str">
        <f>""</f>
        <v/>
      </c>
      <c r="P1594" t="s">
        <v>637</v>
      </c>
      <c r="Q1594" t="str">
        <f>""</f>
        <v/>
      </c>
      <c r="R1594" t="s">
        <v>638</v>
      </c>
      <c r="S1594" t="s">
        <v>1632</v>
      </c>
      <c r="T1594" t="s">
        <v>1383</v>
      </c>
      <c r="U1594">
        <v>318</v>
      </c>
      <c r="V1594" t="s">
        <v>637</v>
      </c>
      <c r="W1594" t="s">
        <v>640</v>
      </c>
      <c r="X1594" t="s">
        <v>641</v>
      </c>
      <c r="Y1594" t="s">
        <v>642</v>
      </c>
    </row>
    <row r="1595" spans="1:25">
      <c r="A1595">
        <v>13531</v>
      </c>
      <c r="B1595" t="s">
        <v>25</v>
      </c>
      <c r="C1595" t="str">
        <f t="shared" si="50"/>
        <v>INTEGRA Saloon</v>
      </c>
      <c r="D1595" t="str">
        <f t="shared" si="51"/>
        <v>1.6 i</v>
      </c>
      <c r="E1595" t="s">
        <v>26</v>
      </c>
      <c r="F1595">
        <v>198501</v>
      </c>
      <c r="G1595">
        <v>199012</v>
      </c>
      <c r="H1595">
        <v>88</v>
      </c>
      <c r="I1595">
        <v>120</v>
      </c>
      <c r="J1595">
        <v>1590</v>
      </c>
      <c r="K1595">
        <v>3026242</v>
      </c>
      <c r="L1595" t="s">
        <v>33</v>
      </c>
      <c r="M1595" t="str">
        <f>"J1254005"</f>
        <v>J1254005</v>
      </c>
      <c r="N1595" t="str">
        <f>"J1254005"</f>
        <v>J1254005</v>
      </c>
      <c r="O1595" t="str">
        <f>""</f>
        <v/>
      </c>
      <c r="P1595" t="s">
        <v>637</v>
      </c>
      <c r="Q1595" t="str">
        <f>"8711768082260"</f>
        <v>8711768082260</v>
      </c>
      <c r="R1595" t="s">
        <v>1384</v>
      </c>
      <c r="S1595" t="s">
        <v>1385</v>
      </c>
      <c r="T1595" t="s">
        <v>1386</v>
      </c>
      <c r="U1595">
        <v>318</v>
      </c>
      <c r="V1595" t="s">
        <v>637</v>
      </c>
      <c r="W1595" t="s">
        <v>640</v>
      </c>
      <c r="X1595" t="s">
        <v>641</v>
      </c>
      <c r="Y1595" t="s">
        <v>642</v>
      </c>
    </row>
    <row r="1596" spans="1:25">
      <c r="A1596">
        <v>13531</v>
      </c>
      <c r="B1596" t="s">
        <v>25</v>
      </c>
      <c r="C1596" t="str">
        <f t="shared" si="50"/>
        <v>INTEGRA Saloon</v>
      </c>
      <c r="D1596" t="str">
        <f t="shared" si="51"/>
        <v>1.6 i</v>
      </c>
      <c r="E1596" t="s">
        <v>26</v>
      </c>
      <c r="F1596">
        <v>198501</v>
      </c>
      <c r="G1596">
        <v>199012</v>
      </c>
      <c r="H1596">
        <v>88</v>
      </c>
      <c r="I1596">
        <v>120</v>
      </c>
      <c r="J1596">
        <v>1590</v>
      </c>
      <c r="K1596">
        <v>3952473</v>
      </c>
      <c r="L1596" t="s">
        <v>27</v>
      </c>
      <c r="M1596" t="str">
        <f>"03755004"</f>
        <v>03755004</v>
      </c>
      <c r="N1596" t="str">
        <f>"0375-5004"</f>
        <v>0375-5004</v>
      </c>
      <c r="O1596" t="str">
        <f>""</f>
        <v/>
      </c>
      <c r="P1596" t="s">
        <v>637</v>
      </c>
      <c r="Q1596" t="str">
        <f>"8718993009789"</f>
        <v>8718993009789</v>
      </c>
      <c r="R1596" t="s">
        <v>1384</v>
      </c>
      <c r="S1596" t="s">
        <v>1385</v>
      </c>
      <c r="T1596" t="s">
        <v>1387</v>
      </c>
      <c r="U1596">
        <v>318</v>
      </c>
      <c r="V1596" t="s">
        <v>637</v>
      </c>
      <c r="W1596" t="s">
        <v>640</v>
      </c>
      <c r="X1596" t="s">
        <v>641</v>
      </c>
      <c r="Y1596" t="s">
        <v>642</v>
      </c>
    </row>
    <row r="1597" spans="1:25">
      <c r="A1597">
        <v>13531</v>
      </c>
      <c r="B1597" t="s">
        <v>25</v>
      </c>
      <c r="C1597" t="str">
        <f t="shared" si="50"/>
        <v>INTEGRA Saloon</v>
      </c>
      <c r="D1597" t="str">
        <f t="shared" si="51"/>
        <v>1.6 i</v>
      </c>
      <c r="E1597" t="s">
        <v>26</v>
      </c>
      <c r="F1597">
        <v>198501</v>
      </c>
      <c r="G1597">
        <v>199012</v>
      </c>
      <c r="H1597">
        <v>88</v>
      </c>
      <c r="I1597">
        <v>120</v>
      </c>
      <c r="J1597">
        <v>1590</v>
      </c>
      <c r="K1597">
        <v>4127109</v>
      </c>
      <c r="L1597" t="s">
        <v>1291</v>
      </c>
      <c r="M1597" t="str">
        <f>"CH9300"</f>
        <v>CH9300</v>
      </c>
      <c r="N1597" t="str">
        <f>"CH9300"</f>
        <v>CH9300</v>
      </c>
      <c r="O1597" t="str">
        <f>""</f>
        <v/>
      </c>
      <c r="P1597" t="s">
        <v>637</v>
      </c>
      <c r="Q1597" t="str">
        <f>""</f>
        <v/>
      </c>
      <c r="R1597" t="s">
        <v>1388</v>
      </c>
      <c r="S1597" t="s">
        <v>1293</v>
      </c>
      <c r="T1597" t="s">
        <v>1389</v>
      </c>
      <c r="U1597">
        <v>318</v>
      </c>
      <c r="V1597" t="s">
        <v>637</v>
      </c>
      <c r="W1597" t="s">
        <v>640</v>
      </c>
      <c r="X1597" t="s">
        <v>641</v>
      </c>
      <c r="Y1597" t="s">
        <v>642</v>
      </c>
    </row>
    <row r="1598" spans="1:25">
      <c r="A1598">
        <v>13531</v>
      </c>
      <c r="B1598" t="s">
        <v>25</v>
      </c>
      <c r="C1598" t="str">
        <f t="shared" si="50"/>
        <v>INTEGRA Saloon</v>
      </c>
      <c r="D1598" t="str">
        <f t="shared" si="51"/>
        <v>1.6 i</v>
      </c>
      <c r="E1598" t="s">
        <v>26</v>
      </c>
      <c r="F1598">
        <v>198501</v>
      </c>
      <c r="G1598">
        <v>199012</v>
      </c>
      <c r="H1598">
        <v>88</v>
      </c>
      <c r="I1598">
        <v>120</v>
      </c>
      <c r="J1598">
        <v>1590</v>
      </c>
      <c r="K1598">
        <v>202164</v>
      </c>
      <c r="L1598" t="s">
        <v>33</v>
      </c>
      <c r="M1598" t="str">
        <f>"J1244035"</f>
        <v>J1244035</v>
      </c>
      <c r="N1598" t="str">
        <f>"J1244035"</f>
        <v>J1244035</v>
      </c>
      <c r="O1598" t="str">
        <f>""</f>
        <v/>
      </c>
      <c r="P1598" t="s">
        <v>646</v>
      </c>
      <c r="Q1598" t="str">
        <f>"8711768030650"</f>
        <v>8711768030650</v>
      </c>
      <c r="T1598" s="1" t="s">
        <v>1390</v>
      </c>
      <c r="U1598">
        <v>319</v>
      </c>
      <c r="V1598" t="s">
        <v>646</v>
      </c>
      <c r="W1598" t="s">
        <v>649</v>
      </c>
      <c r="X1598" t="s">
        <v>641</v>
      </c>
    </row>
    <row r="1599" spans="1:25">
      <c r="A1599">
        <v>13531</v>
      </c>
      <c r="B1599" t="s">
        <v>25</v>
      </c>
      <c r="C1599" t="str">
        <f t="shared" si="50"/>
        <v>INTEGRA Saloon</v>
      </c>
      <c r="D1599" t="str">
        <f t="shared" si="51"/>
        <v>1.6 i</v>
      </c>
      <c r="E1599" t="s">
        <v>26</v>
      </c>
      <c r="F1599">
        <v>198501</v>
      </c>
      <c r="G1599">
        <v>199012</v>
      </c>
      <c r="H1599">
        <v>88</v>
      </c>
      <c r="I1599">
        <v>120</v>
      </c>
      <c r="J1599">
        <v>1590</v>
      </c>
      <c r="K1599">
        <v>572299</v>
      </c>
      <c r="L1599" t="s">
        <v>659</v>
      </c>
      <c r="M1599" t="str">
        <f>"499760"</f>
        <v>499760</v>
      </c>
      <c r="N1599" t="str">
        <f>"499.760"</f>
        <v>499.760</v>
      </c>
      <c r="O1599" t="str">
        <f>""</f>
        <v/>
      </c>
      <c r="P1599" t="s">
        <v>646</v>
      </c>
      <c r="Q1599" t="str">
        <f>"4041248031100"</f>
        <v>4041248031100</v>
      </c>
      <c r="R1599" t="s">
        <v>1668</v>
      </c>
      <c r="T1599" t="s">
        <v>1669</v>
      </c>
      <c r="U1599">
        <v>319</v>
      </c>
      <c r="V1599" t="s">
        <v>646</v>
      </c>
      <c r="W1599" t="s">
        <v>649</v>
      </c>
      <c r="X1599" t="s">
        <v>641</v>
      </c>
    </row>
    <row r="1600" spans="1:25">
      <c r="A1600">
        <v>13531</v>
      </c>
      <c r="B1600" t="s">
        <v>25</v>
      </c>
      <c r="C1600" t="str">
        <f t="shared" si="50"/>
        <v>INTEGRA Saloon</v>
      </c>
      <c r="D1600" t="str">
        <f t="shared" si="51"/>
        <v>1.6 i</v>
      </c>
      <c r="E1600" t="s">
        <v>26</v>
      </c>
      <c r="F1600">
        <v>198501</v>
      </c>
      <c r="G1600">
        <v>199012</v>
      </c>
      <c r="H1600">
        <v>88</v>
      </c>
      <c r="I1600">
        <v>120</v>
      </c>
      <c r="J1600">
        <v>1590</v>
      </c>
      <c r="K1600">
        <v>591075</v>
      </c>
      <c r="L1600" t="s">
        <v>636</v>
      </c>
      <c r="M1600" t="str">
        <f>"DV351"</f>
        <v>DV351</v>
      </c>
      <c r="N1600" t="str">
        <f>"DV351"</f>
        <v>DV351</v>
      </c>
      <c r="O1600" t="str">
        <f>""</f>
        <v/>
      </c>
      <c r="P1600" t="s">
        <v>646</v>
      </c>
      <c r="Q1600" t="str">
        <f>""</f>
        <v/>
      </c>
      <c r="R1600" t="s">
        <v>650</v>
      </c>
      <c r="S1600" t="s">
        <v>1632</v>
      </c>
      <c r="T1600" t="s">
        <v>1391</v>
      </c>
      <c r="U1600">
        <v>319</v>
      </c>
      <c r="V1600" t="s">
        <v>646</v>
      </c>
      <c r="W1600" t="s">
        <v>649</v>
      </c>
      <c r="X1600" t="s">
        <v>641</v>
      </c>
    </row>
    <row r="1601" spans="1:25">
      <c r="A1601">
        <v>13531</v>
      </c>
      <c r="B1601" t="s">
        <v>25</v>
      </c>
      <c r="C1601" t="str">
        <f t="shared" si="50"/>
        <v>INTEGRA Saloon</v>
      </c>
      <c r="D1601" t="str">
        <f t="shared" si="51"/>
        <v>1.6 i</v>
      </c>
      <c r="E1601" t="s">
        <v>26</v>
      </c>
      <c r="F1601">
        <v>198501</v>
      </c>
      <c r="G1601">
        <v>199012</v>
      </c>
      <c r="H1601">
        <v>88</v>
      </c>
      <c r="I1601">
        <v>120</v>
      </c>
      <c r="J1601">
        <v>1590</v>
      </c>
      <c r="K1601">
        <v>840471</v>
      </c>
      <c r="L1601" t="s">
        <v>1291</v>
      </c>
      <c r="M1601" t="str">
        <f>"HK6510"</f>
        <v>HK6510</v>
      </c>
      <c r="N1601" t="str">
        <f>"HK6510"</f>
        <v>HK6510</v>
      </c>
      <c r="O1601" t="str">
        <f>""</f>
        <v/>
      </c>
      <c r="P1601" t="s">
        <v>646</v>
      </c>
      <c r="Q1601" t="str">
        <f>""</f>
        <v/>
      </c>
      <c r="R1601" t="s">
        <v>650</v>
      </c>
      <c r="S1601" t="s">
        <v>1293</v>
      </c>
      <c r="T1601" s="1" t="s">
        <v>1392</v>
      </c>
      <c r="U1601">
        <v>319</v>
      </c>
      <c r="V1601" t="s">
        <v>646</v>
      </c>
      <c r="W1601" t="s">
        <v>649</v>
      </c>
      <c r="X1601" t="s">
        <v>641</v>
      </c>
    </row>
    <row r="1602" spans="1:25">
      <c r="A1602">
        <v>13531</v>
      </c>
      <c r="B1602" t="s">
        <v>25</v>
      </c>
      <c r="C1602" t="str">
        <f t="shared" ref="C1602:C1665" si="52">"INTEGRA Saloon"</f>
        <v>INTEGRA Saloon</v>
      </c>
      <c r="D1602" t="str">
        <f t="shared" si="51"/>
        <v>1.6 i</v>
      </c>
      <c r="E1602" t="s">
        <v>26</v>
      </c>
      <c r="F1602">
        <v>198501</v>
      </c>
      <c r="G1602">
        <v>199012</v>
      </c>
      <c r="H1602">
        <v>88</v>
      </c>
      <c r="I1602">
        <v>120</v>
      </c>
      <c r="J1602">
        <v>1590</v>
      </c>
      <c r="K1602">
        <v>3964119</v>
      </c>
      <c r="L1602" t="s">
        <v>27</v>
      </c>
      <c r="M1602" t="str">
        <f>"H22530"</f>
        <v>H22530</v>
      </c>
      <c r="N1602" t="str">
        <f>"H225-30"</f>
        <v>H225-30</v>
      </c>
      <c r="O1602" t="str">
        <f>""</f>
        <v/>
      </c>
      <c r="P1602" t="s">
        <v>646</v>
      </c>
      <c r="Q1602" t="str">
        <f>"8718993212707"</f>
        <v>8718993212707</v>
      </c>
      <c r="R1602" t="s">
        <v>1393</v>
      </c>
      <c r="T1602" s="1" t="s">
        <v>1394</v>
      </c>
      <c r="U1602">
        <v>319</v>
      </c>
      <c r="V1602" t="s">
        <v>646</v>
      </c>
      <c r="W1602" t="s">
        <v>649</v>
      </c>
      <c r="X1602" t="s">
        <v>641</v>
      </c>
    </row>
    <row r="1603" spans="1:25">
      <c r="A1603">
        <v>13531</v>
      </c>
      <c r="B1603" t="s">
        <v>25</v>
      </c>
      <c r="C1603" t="str">
        <f t="shared" si="52"/>
        <v>INTEGRA Saloon</v>
      </c>
      <c r="D1603" t="str">
        <f t="shared" si="51"/>
        <v>1.6 i</v>
      </c>
      <c r="E1603" t="s">
        <v>26</v>
      </c>
      <c r="F1603">
        <v>198501</v>
      </c>
      <c r="G1603">
        <v>199012</v>
      </c>
      <c r="H1603">
        <v>88</v>
      </c>
      <c r="I1603">
        <v>120</v>
      </c>
      <c r="J1603">
        <v>1590</v>
      </c>
      <c r="K1603">
        <v>201930</v>
      </c>
      <c r="L1603" t="s">
        <v>33</v>
      </c>
      <c r="M1603" t="str">
        <f>"J1224013"</f>
        <v>J1224013</v>
      </c>
      <c r="N1603" t="str">
        <f>"J1224013"</f>
        <v>J1224013</v>
      </c>
      <c r="O1603" t="str">
        <f>""</f>
        <v/>
      </c>
      <c r="P1603" t="s">
        <v>654</v>
      </c>
      <c r="Q1603" t="str">
        <f>"8711768028626"</f>
        <v>8711768028626</v>
      </c>
      <c r="R1603" t="s">
        <v>1395</v>
      </c>
      <c r="T1603" t="s">
        <v>1396</v>
      </c>
      <c r="U1603">
        <v>321</v>
      </c>
      <c r="V1603" t="s">
        <v>654</v>
      </c>
      <c r="W1603" t="s">
        <v>640</v>
      </c>
      <c r="X1603" t="s">
        <v>641</v>
      </c>
      <c r="Y1603" t="s">
        <v>656</v>
      </c>
    </row>
    <row r="1604" spans="1:25">
      <c r="A1604">
        <v>13531</v>
      </c>
      <c r="B1604" t="s">
        <v>25</v>
      </c>
      <c r="C1604" t="str">
        <f t="shared" si="52"/>
        <v>INTEGRA Saloon</v>
      </c>
      <c r="D1604" t="str">
        <f t="shared" si="51"/>
        <v>1.6 i</v>
      </c>
      <c r="E1604" t="s">
        <v>26</v>
      </c>
      <c r="F1604">
        <v>198501</v>
      </c>
      <c r="G1604">
        <v>199012</v>
      </c>
      <c r="H1604">
        <v>88</v>
      </c>
      <c r="I1604">
        <v>120</v>
      </c>
      <c r="J1604">
        <v>1590</v>
      </c>
      <c r="K1604">
        <v>1141286</v>
      </c>
      <c r="L1604" t="s">
        <v>659</v>
      </c>
      <c r="M1604" t="str">
        <f>"752630"</f>
        <v>752630</v>
      </c>
      <c r="N1604" t="str">
        <f>"752.630"</f>
        <v>752.630</v>
      </c>
      <c r="O1604" t="str">
        <f>""</f>
        <v/>
      </c>
      <c r="P1604" t="s">
        <v>654</v>
      </c>
      <c r="Q1604" t="str">
        <f>"4041248124536"</f>
        <v>4041248124536</v>
      </c>
      <c r="T1604" s="1" t="s">
        <v>1397</v>
      </c>
      <c r="U1604">
        <v>321</v>
      </c>
      <c r="V1604" t="s">
        <v>654</v>
      </c>
      <c r="W1604" t="s">
        <v>640</v>
      </c>
      <c r="X1604" t="s">
        <v>641</v>
      </c>
      <c r="Y1604" t="s">
        <v>656</v>
      </c>
    </row>
    <row r="1605" spans="1:25">
      <c r="A1605">
        <v>13531</v>
      </c>
      <c r="B1605" t="s">
        <v>25</v>
      </c>
      <c r="C1605" t="str">
        <f t="shared" si="52"/>
        <v>INTEGRA Saloon</v>
      </c>
      <c r="D1605" t="str">
        <f t="shared" si="51"/>
        <v>1.6 i</v>
      </c>
      <c r="E1605" t="s">
        <v>26</v>
      </c>
      <c r="F1605">
        <v>198501</v>
      </c>
      <c r="G1605">
        <v>199012</v>
      </c>
      <c r="H1605">
        <v>88</v>
      </c>
      <c r="I1605">
        <v>120</v>
      </c>
      <c r="J1605">
        <v>1590</v>
      </c>
      <c r="K1605">
        <v>2251832</v>
      </c>
      <c r="L1605" t="s">
        <v>636</v>
      </c>
      <c r="M1605" t="str">
        <f>"JN744"</f>
        <v>JN744</v>
      </c>
      <c r="N1605" t="str">
        <f>"JN744"</f>
        <v>JN744</v>
      </c>
      <c r="O1605" t="str">
        <f>""</f>
        <v/>
      </c>
      <c r="P1605" t="s">
        <v>654</v>
      </c>
      <c r="Q1605" t="str">
        <f>""</f>
        <v/>
      </c>
      <c r="R1605" t="s">
        <v>1398</v>
      </c>
      <c r="S1605" t="s">
        <v>1632</v>
      </c>
      <c r="T1605" s="1" t="s">
        <v>1399</v>
      </c>
      <c r="U1605">
        <v>321</v>
      </c>
      <c r="V1605" t="s">
        <v>654</v>
      </c>
      <c r="W1605" t="s">
        <v>640</v>
      </c>
      <c r="X1605" t="s">
        <v>641</v>
      </c>
      <c r="Y1605" t="s">
        <v>656</v>
      </c>
    </row>
    <row r="1606" spans="1:25">
      <c r="A1606">
        <v>13531</v>
      </c>
      <c r="B1606" t="s">
        <v>25</v>
      </c>
      <c r="C1606" t="str">
        <f t="shared" si="52"/>
        <v>INTEGRA Saloon</v>
      </c>
      <c r="D1606" t="str">
        <f t="shared" si="51"/>
        <v>1.6 i</v>
      </c>
      <c r="E1606" t="s">
        <v>26</v>
      </c>
      <c r="F1606">
        <v>198501</v>
      </c>
      <c r="G1606">
        <v>199012</v>
      </c>
      <c r="H1606">
        <v>88</v>
      </c>
      <c r="I1606">
        <v>120</v>
      </c>
      <c r="J1606">
        <v>1590</v>
      </c>
      <c r="K1606">
        <v>3964138</v>
      </c>
      <c r="L1606" t="s">
        <v>27</v>
      </c>
      <c r="M1606" t="str">
        <f>"H23705"</f>
        <v>H23705</v>
      </c>
      <c r="N1606" t="str">
        <f>"H237-05"</f>
        <v>H237-05</v>
      </c>
      <c r="O1606" t="str">
        <f>""</f>
        <v/>
      </c>
      <c r="P1606" t="s">
        <v>654</v>
      </c>
      <c r="Q1606" t="str">
        <f>"8718993212974"</f>
        <v>8718993212974</v>
      </c>
      <c r="R1606" t="s">
        <v>1400</v>
      </c>
      <c r="T1606" s="1" t="s">
        <v>1401</v>
      </c>
      <c r="U1606">
        <v>321</v>
      </c>
      <c r="V1606" t="s">
        <v>654</v>
      </c>
      <c r="W1606" t="s">
        <v>640</v>
      </c>
      <c r="X1606" t="s">
        <v>641</v>
      </c>
      <c r="Y1606" t="s">
        <v>656</v>
      </c>
    </row>
    <row r="1607" spans="1:25">
      <c r="A1607">
        <v>13531</v>
      </c>
      <c r="B1607" t="s">
        <v>25</v>
      </c>
      <c r="C1607" t="str">
        <f t="shared" si="52"/>
        <v>INTEGRA Saloon</v>
      </c>
      <c r="D1607" t="str">
        <f t="shared" si="51"/>
        <v>1.6 i</v>
      </c>
      <c r="E1607" t="s">
        <v>26</v>
      </c>
      <c r="F1607">
        <v>198501</v>
      </c>
      <c r="G1607">
        <v>199012</v>
      </c>
      <c r="H1607">
        <v>88</v>
      </c>
      <c r="I1607">
        <v>120</v>
      </c>
      <c r="J1607">
        <v>1590</v>
      </c>
      <c r="K1607">
        <v>570071</v>
      </c>
      <c r="L1607" t="s">
        <v>659</v>
      </c>
      <c r="M1607" t="str">
        <f>"010290"</f>
        <v>010290</v>
      </c>
      <c r="N1607" t="str">
        <f>"010.290"</f>
        <v>010.290</v>
      </c>
      <c r="O1607" t="str">
        <f>""</f>
        <v/>
      </c>
      <c r="P1607" t="s">
        <v>1670</v>
      </c>
      <c r="Q1607" t="str">
        <f>"4041248158258"</f>
        <v>4041248158258</v>
      </c>
      <c r="R1607" t="s">
        <v>1671</v>
      </c>
      <c r="S1607" t="s">
        <v>1672</v>
      </c>
      <c r="T1607" s="1" t="s">
        <v>1673</v>
      </c>
      <c r="U1607">
        <v>322</v>
      </c>
      <c r="V1607" t="s">
        <v>1670</v>
      </c>
      <c r="W1607" t="s">
        <v>987</v>
      </c>
      <c r="X1607" t="s">
        <v>641</v>
      </c>
      <c r="Y1607" t="s">
        <v>663</v>
      </c>
    </row>
    <row r="1608" spans="1:25">
      <c r="A1608">
        <v>13531</v>
      </c>
      <c r="B1608" t="s">
        <v>25</v>
      </c>
      <c r="C1608" t="str">
        <f t="shared" si="52"/>
        <v>INTEGRA Saloon</v>
      </c>
      <c r="D1608" t="str">
        <f t="shared" si="51"/>
        <v>1.6 i</v>
      </c>
      <c r="E1608" t="s">
        <v>26</v>
      </c>
      <c r="F1608">
        <v>198501</v>
      </c>
      <c r="G1608">
        <v>199012</v>
      </c>
      <c r="H1608">
        <v>88</v>
      </c>
      <c r="I1608">
        <v>120</v>
      </c>
      <c r="J1608">
        <v>1590</v>
      </c>
      <c r="K1608">
        <v>1135698</v>
      </c>
      <c r="L1608" t="s">
        <v>659</v>
      </c>
      <c r="M1608" t="str">
        <f>"010300"</f>
        <v>010300</v>
      </c>
      <c r="N1608" t="str">
        <f>"010.300"</f>
        <v>010.300</v>
      </c>
      <c r="O1608" t="str">
        <f>""</f>
        <v/>
      </c>
      <c r="P1608" t="s">
        <v>1670</v>
      </c>
      <c r="Q1608" t="str">
        <f>"4041248158265"</f>
        <v>4041248158265</v>
      </c>
      <c r="R1608" t="s">
        <v>1671</v>
      </c>
      <c r="S1608" t="s">
        <v>1674</v>
      </c>
      <c r="T1608" t="s">
        <v>1675</v>
      </c>
      <c r="U1608">
        <v>322</v>
      </c>
      <c r="V1608" t="s">
        <v>1670</v>
      </c>
      <c r="W1608" t="s">
        <v>987</v>
      </c>
      <c r="X1608" t="s">
        <v>641</v>
      </c>
      <c r="Y1608" t="s">
        <v>663</v>
      </c>
    </row>
    <row r="1609" spans="1:25">
      <c r="A1609">
        <v>13531</v>
      </c>
      <c r="B1609" t="s">
        <v>25</v>
      </c>
      <c r="C1609" t="str">
        <f t="shared" si="52"/>
        <v>INTEGRA Saloon</v>
      </c>
      <c r="D1609" t="str">
        <f t="shared" si="51"/>
        <v>1.6 i</v>
      </c>
      <c r="E1609" t="s">
        <v>26</v>
      </c>
      <c r="F1609">
        <v>198501</v>
      </c>
      <c r="G1609">
        <v>199012</v>
      </c>
      <c r="H1609">
        <v>88</v>
      </c>
      <c r="I1609">
        <v>120</v>
      </c>
      <c r="J1609">
        <v>1590</v>
      </c>
      <c r="K1609">
        <v>4131916</v>
      </c>
      <c r="L1609" t="s">
        <v>1291</v>
      </c>
      <c r="M1609" t="str">
        <f>"VK3399"</f>
        <v>VK3399</v>
      </c>
      <c r="N1609" t="str">
        <f>"VK3399"</f>
        <v>VK3399</v>
      </c>
      <c r="O1609" t="str">
        <f>""</f>
        <v/>
      </c>
      <c r="P1609" t="s">
        <v>660</v>
      </c>
      <c r="Q1609" t="str">
        <f>""</f>
        <v/>
      </c>
      <c r="S1609" t="s">
        <v>1293</v>
      </c>
      <c r="T1609" t="s">
        <v>1402</v>
      </c>
      <c r="U1609">
        <v>323</v>
      </c>
      <c r="V1609" t="s">
        <v>660</v>
      </c>
      <c r="W1609" t="s">
        <v>649</v>
      </c>
      <c r="X1609" t="s">
        <v>641</v>
      </c>
      <c r="Y1609" t="s">
        <v>663</v>
      </c>
    </row>
    <row r="1610" spans="1:25">
      <c r="A1610">
        <v>13531</v>
      </c>
      <c r="B1610" t="s">
        <v>25</v>
      </c>
      <c r="C1610" t="str">
        <f t="shared" si="52"/>
        <v>INTEGRA Saloon</v>
      </c>
      <c r="D1610" t="str">
        <f t="shared" si="51"/>
        <v>1.6 i</v>
      </c>
      <c r="E1610" t="s">
        <v>26</v>
      </c>
      <c r="F1610">
        <v>198501</v>
      </c>
      <c r="G1610">
        <v>199012</v>
      </c>
      <c r="H1610">
        <v>88</v>
      </c>
      <c r="I1610">
        <v>120</v>
      </c>
      <c r="J1610">
        <v>1590</v>
      </c>
      <c r="K1610">
        <v>199157</v>
      </c>
      <c r="L1610" t="s">
        <v>384</v>
      </c>
      <c r="M1610" t="str">
        <f>"NP2279"</f>
        <v>NP2279</v>
      </c>
      <c r="N1610" t="str">
        <f>"NP2279"</f>
        <v>NP2279</v>
      </c>
      <c r="O1610" t="str">
        <f>""</f>
        <v/>
      </c>
      <c r="P1610" t="s">
        <v>664</v>
      </c>
      <c r="Q1610" t="str">
        <f>""</f>
        <v/>
      </c>
      <c r="R1610" t="s">
        <v>665</v>
      </c>
      <c r="S1610" t="s">
        <v>666</v>
      </c>
      <c r="T1610" s="1" t="s">
        <v>1676</v>
      </c>
      <c r="U1610">
        <v>402</v>
      </c>
      <c r="V1610" t="s">
        <v>664</v>
      </c>
      <c r="W1610" t="s">
        <v>668</v>
      </c>
      <c r="X1610" t="s">
        <v>224</v>
      </c>
    </row>
    <row r="1611" spans="1:25">
      <c r="A1611">
        <v>13531</v>
      </c>
      <c r="B1611" t="s">
        <v>25</v>
      </c>
      <c r="C1611" t="str">
        <f t="shared" si="52"/>
        <v>INTEGRA Saloon</v>
      </c>
      <c r="D1611" t="str">
        <f t="shared" si="51"/>
        <v>1.6 i</v>
      </c>
      <c r="E1611" t="s">
        <v>26</v>
      </c>
      <c r="F1611">
        <v>198501</v>
      </c>
      <c r="G1611">
        <v>199012</v>
      </c>
      <c r="H1611">
        <v>88</v>
      </c>
      <c r="I1611">
        <v>120</v>
      </c>
      <c r="J1611">
        <v>1590</v>
      </c>
      <c r="K1611">
        <v>450082</v>
      </c>
      <c r="L1611" t="s">
        <v>669</v>
      </c>
      <c r="M1611" t="str">
        <f>"WBP21312B"</f>
        <v>WBP21312B</v>
      </c>
      <c r="N1611" t="str">
        <f>"WBP21312B"</f>
        <v>WBP21312B</v>
      </c>
      <c r="O1611" t="str">
        <f>""</f>
        <v/>
      </c>
      <c r="P1611" t="s">
        <v>664</v>
      </c>
      <c r="Q1611" t="str">
        <f>""</f>
        <v/>
      </c>
      <c r="R1611" t="s">
        <v>670</v>
      </c>
      <c r="T1611" s="1" t="s">
        <v>671</v>
      </c>
      <c r="U1611">
        <v>402</v>
      </c>
      <c r="V1611" t="s">
        <v>664</v>
      </c>
      <c r="W1611" t="s">
        <v>668</v>
      </c>
      <c r="X1611" t="s">
        <v>224</v>
      </c>
    </row>
    <row r="1612" spans="1:25">
      <c r="A1612">
        <v>13531</v>
      </c>
      <c r="B1612" t="s">
        <v>25</v>
      </c>
      <c r="C1612" t="str">
        <f t="shared" si="52"/>
        <v>INTEGRA Saloon</v>
      </c>
      <c r="D1612" t="str">
        <f t="shared" si="51"/>
        <v>1.6 i</v>
      </c>
      <c r="E1612" t="s">
        <v>26</v>
      </c>
      <c r="F1612">
        <v>198501</v>
      </c>
      <c r="G1612">
        <v>199012</v>
      </c>
      <c r="H1612">
        <v>88</v>
      </c>
      <c r="I1612">
        <v>120</v>
      </c>
      <c r="J1612">
        <v>1590</v>
      </c>
      <c r="K1612">
        <v>892662</v>
      </c>
      <c r="L1612" t="s">
        <v>298</v>
      </c>
      <c r="M1612" t="str">
        <f>"350767"</f>
        <v>350767</v>
      </c>
      <c r="N1612" t="str">
        <f>"35-0767"</f>
        <v>35-0767</v>
      </c>
      <c r="O1612" t="str">
        <f>""</f>
        <v/>
      </c>
      <c r="P1612" t="s">
        <v>664</v>
      </c>
      <c r="Q1612" t="str">
        <f>""</f>
        <v/>
      </c>
      <c r="R1612" t="s">
        <v>672</v>
      </c>
      <c r="T1612" t="s">
        <v>673</v>
      </c>
      <c r="U1612">
        <v>402</v>
      </c>
      <c r="V1612" t="s">
        <v>664</v>
      </c>
      <c r="W1612" t="s">
        <v>668</v>
      </c>
      <c r="X1612" t="s">
        <v>224</v>
      </c>
    </row>
    <row r="1613" spans="1:25">
      <c r="A1613">
        <v>13531</v>
      </c>
      <c r="B1613" t="s">
        <v>25</v>
      </c>
      <c r="C1613" t="str">
        <f t="shared" si="52"/>
        <v>INTEGRA Saloon</v>
      </c>
      <c r="D1613" t="str">
        <f t="shared" si="51"/>
        <v>1.6 i</v>
      </c>
      <c r="E1613" t="s">
        <v>26</v>
      </c>
      <c r="F1613">
        <v>198501</v>
      </c>
      <c r="G1613">
        <v>199012</v>
      </c>
      <c r="H1613">
        <v>88</v>
      </c>
      <c r="I1613">
        <v>120</v>
      </c>
      <c r="J1613">
        <v>1590</v>
      </c>
      <c r="K1613">
        <v>951929</v>
      </c>
      <c r="L1613" t="s">
        <v>218</v>
      </c>
      <c r="M1613" t="str">
        <f>"PRP0110"</f>
        <v>PRP0110</v>
      </c>
      <c r="N1613" t="str">
        <f>"PRP0110"</f>
        <v>PRP0110</v>
      </c>
      <c r="O1613" t="str">
        <f>""</f>
        <v/>
      </c>
      <c r="P1613" t="s">
        <v>664</v>
      </c>
      <c r="Q1613" t="str">
        <f>""</f>
        <v/>
      </c>
      <c r="R1613" t="s">
        <v>674</v>
      </c>
      <c r="S1613" t="s">
        <v>675</v>
      </c>
      <c r="T1613" s="1" t="s">
        <v>676</v>
      </c>
      <c r="U1613">
        <v>402</v>
      </c>
      <c r="V1613" t="s">
        <v>664</v>
      </c>
      <c r="W1613" t="s">
        <v>668</v>
      </c>
      <c r="X1613" t="s">
        <v>224</v>
      </c>
    </row>
    <row r="1614" spans="1:25">
      <c r="A1614">
        <v>13531</v>
      </c>
      <c r="B1614" t="s">
        <v>25</v>
      </c>
      <c r="C1614" t="str">
        <f t="shared" si="52"/>
        <v>INTEGRA Saloon</v>
      </c>
      <c r="D1614" t="str">
        <f t="shared" si="51"/>
        <v>1.6 i</v>
      </c>
      <c r="E1614" t="s">
        <v>26</v>
      </c>
      <c r="F1614">
        <v>198501</v>
      </c>
      <c r="G1614">
        <v>199012</v>
      </c>
      <c r="H1614">
        <v>88</v>
      </c>
      <c r="I1614">
        <v>120</v>
      </c>
      <c r="J1614">
        <v>1590</v>
      </c>
      <c r="K1614">
        <v>958270</v>
      </c>
      <c r="L1614" t="s">
        <v>218</v>
      </c>
      <c r="M1614" t="str">
        <f>"PRP0566"</f>
        <v>PRP0566</v>
      </c>
      <c r="N1614" t="str">
        <f>"PRP0566"</f>
        <v>PRP0566</v>
      </c>
      <c r="O1614" t="str">
        <f>""</f>
        <v/>
      </c>
      <c r="P1614" t="s">
        <v>664</v>
      </c>
      <c r="Q1614" t="str">
        <f>""</f>
        <v/>
      </c>
      <c r="R1614" t="s">
        <v>677</v>
      </c>
      <c r="S1614" t="s">
        <v>678</v>
      </c>
      <c r="T1614" s="1" t="s">
        <v>679</v>
      </c>
      <c r="U1614">
        <v>402</v>
      </c>
      <c r="V1614" t="s">
        <v>664</v>
      </c>
      <c r="W1614" t="s">
        <v>668</v>
      </c>
      <c r="X1614" t="s">
        <v>224</v>
      </c>
    </row>
    <row r="1615" spans="1:25">
      <c r="A1615">
        <v>13531</v>
      </c>
      <c r="B1615" t="s">
        <v>25</v>
      </c>
      <c r="C1615" t="str">
        <f t="shared" si="52"/>
        <v>INTEGRA Saloon</v>
      </c>
      <c r="D1615" t="str">
        <f t="shared" si="51"/>
        <v>1.6 i</v>
      </c>
      <c r="E1615" t="s">
        <v>26</v>
      </c>
      <c r="F1615">
        <v>198501</v>
      </c>
      <c r="G1615">
        <v>199012</v>
      </c>
      <c r="H1615">
        <v>88</v>
      </c>
      <c r="I1615">
        <v>120</v>
      </c>
      <c r="J1615">
        <v>1590</v>
      </c>
      <c r="K1615">
        <v>958314</v>
      </c>
      <c r="L1615" t="s">
        <v>218</v>
      </c>
      <c r="M1615" t="str">
        <f>"PRP0621"</f>
        <v>PRP0621</v>
      </c>
      <c r="N1615" t="str">
        <f>"PRP0621"</f>
        <v>PRP0621</v>
      </c>
      <c r="O1615" t="str">
        <f>""</f>
        <v/>
      </c>
      <c r="P1615" t="s">
        <v>664</v>
      </c>
      <c r="Q1615" t="str">
        <f>""</f>
        <v/>
      </c>
      <c r="R1615" t="s">
        <v>680</v>
      </c>
      <c r="S1615" t="s">
        <v>681</v>
      </c>
      <c r="T1615" s="1" t="s">
        <v>682</v>
      </c>
      <c r="U1615">
        <v>402</v>
      </c>
      <c r="V1615" t="s">
        <v>664</v>
      </c>
      <c r="W1615" t="s">
        <v>668</v>
      </c>
      <c r="X1615" t="s">
        <v>224</v>
      </c>
    </row>
    <row r="1616" spans="1:25">
      <c r="A1616">
        <v>13531</v>
      </c>
      <c r="B1616" t="s">
        <v>25</v>
      </c>
      <c r="C1616" t="str">
        <f t="shared" si="52"/>
        <v>INTEGRA Saloon</v>
      </c>
      <c r="D1616" t="str">
        <f t="shared" si="51"/>
        <v>1.6 i</v>
      </c>
      <c r="E1616" t="s">
        <v>26</v>
      </c>
      <c r="F1616">
        <v>198501</v>
      </c>
      <c r="G1616">
        <v>199012</v>
      </c>
      <c r="H1616">
        <v>88</v>
      </c>
      <c r="I1616">
        <v>120</v>
      </c>
      <c r="J1616">
        <v>1590</v>
      </c>
      <c r="K1616">
        <v>1022686</v>
      </c>
      <c r="L1616" t="s">
        <v>683</v>
      </c>
      <c r="M1616" t="str">
        <f>"31277"</f>
        <v>31277</v>
      </c>
      <c r="N1616" t="str">
        <f>"31277"</f>
        <v>31277</v>
      </c>
      <c r="O1616" t="str">
        <f>"20099"</f>
        <v>20099</v>
      </c>
      <c r="P1616" t="s">
        <v>664</v>
      </c>
      <c r="Q1616" t="str">
        <f>""</f>
        <v/>
      </c>
      <c r="R1616" t="s">
        <v>684</v>
      </c>
      <c r="S1616" t="s">
        <v>685</v>
      </c>
      <c r="T1616" s="1" t="s">
        <v>686</v>
      </c>
      <c r="U1616">
        <v>402</v>
      </c>
      <c r="V1616" t="s">
        <v>664</v>
      </c>
      <c r="W1616" t="s">
        <v>668</v>
      </c>
      <c r="X1616" t="s">
        <v>224</v>
      </c>
    </row>
    <row r="1617" spans="1:24">
      <c r="A1617">
        <v>13531</v>
      </c>
      <c r="B1617" t="s">
        <v>25</v>
      </c>
      <c r="C1617" t="str">
        <f t="shared" si="52"/>
        <v>INTEGRA Saloon</v>
      </c>
      <c r="D1617" t="str">
        <f t="shared" si="51"/>
        <v>1.6 i</v>
      </c>
      <c r="E1617" t="s">
        <v>26</v>
      </c>
      <c r="F1617">
        <v>198501</v>
      </c>
      <c r="G1617">
        <v>199012</v>
      </c>
      <c r="H1617">
        <v>88</v>
      </c>
      <c r="I1617">
        <v>120</v>
      </c>
      <c r="J1617">
        <v>1590</v>
      </c>
      <c r="K1617">
        <v>1022809</v>
      </c>
      <c r="L1617" t="s">
        <v>683</v>
      </c>
      <c r="M1617" t="str">
        <f>"31742"</f>
        <v>31742</v>
      </c>
      <c r="N1617" t="str">
        <f>"31742"</f>
        <v>31742</v>
      </c>
      <c r="O1617" t="str">
        <f>"21446"</f>
        <v>21446</v>
      </c>
      <c r="P1617" t="s">
        <v>664</v>
      </c>
      <c r="Q1617" t="str">
        <f>""</f>
        <v/>
      </c>
      <c r="R1617" t="s">
        <v>687</v>
      </c>
      <c r="S1617" t="s">
        <v>688</v>
      </c>
      <c r="T1617" s="1" t="s">
        <v>689</v>
      </c>
      <c r="U1617">
        <v>402</v>
      </c>
      <c r="V1617" t="s">
        <v>664</v>
      </c>
      <c r="W1617" t="s">
        <v>668</v>
      </c>
      <c r="X1617" t="s">
        <v>224</v>
      </c>
    </row>
    <row r="1618" spans="1:24">
      <c r="A1618">
        <v>13531</v>
      </c>
      <c r="B1618" t="s">
        <v>25</v>
      </c>
      <c r="C1618" t="str">
        <f t="shared" si="52"/>
        <v>INTEGRA Saloon</v>
      </c>
      <c r="D1618" t="str">
        <f t="shared" si="51"/>
        <v>1.6 i</v>
      </c>
      <c r="E1618" t="s">
        <v>26</v>
      </c>
      <c r="F1618">
        <v>198501</v>
      </c>
      <c r="G1618">
        <v>199012</v>
      </c>
      <c r="H1618">
        <v>88</v>
      </c>
      <c r="I1618">
        <v>120</v>
      </c>
      <c r="J1618">
        <v>1590</v>
      </c>
      <c r="K1618">
        <v>1072406</v>
      </c>
      <c r="L1618" t="s">
        <v>690</v>
      </c>
      <c r="M1618" t="str">
        <f>"8DB355005731"</f>
        <v>8DB355005731</v>
      </c>
      <c r="N1618" t="str">
        <f>"8DB 355 005-731"</f>
        <v>8DB 355 005-731</v>
      </c>
      <c r="O1618" t="str">
        <f>""</f>
        <v/>
      </c>
      <c r="P1618" t="s">
        <v>664</v>
      </c>
      <c r="Q1618" t="str">
        <f>"4082300350043"</f>
        <v>4082300350043</v>
      </c>
      <c r="R1618" t="s">
        <v>691</v>
      </c>
      <c r="S1618" t="s">
        <v>221</v>
      </c>
      <c r="T1618" s="1" t="s">
        <v>692</v>
      </c>
      <c r="U1618">
        <v>402</v>
      </c>
      <c r="V1618" t="s">
        <v>664</v>
      </c>
      <c r="W1618" t="s">
        <v>668</v>
      </c>
      <c r="X1618" t="s">
        <v>224</v>
      </c>
    </row>
    <row r="1619" spans="1:24">
      <c r="A1619">
        <v>13531</v>
      </c>
      <c r="B1619" t="s">
        <v>25</v>
      </c>
      <c r="C1619" t="str">
        <f t="shared" si="52"/>
        <v>INTEGRA Saloon</v>
      </c>
      <c r="D1619" t="str">
        <f t="shared" si="51"/>
        <v>1.6 i</v>
      </c>
      <c r="E1619" t="s">
        <v>26</v>
      </c>
      <c r="F1619">
        <v>198501</v>
      </c>
      <c r="G1619">
        <v>199012</v>
      </c>
      <c r="H1619">
        <v>88</v>
      </c>
      <c r="I1619">
        <v>120</v>
      </c>
      <c r="J1619">
        <v>1590</v>
      </c>
      <c r="K1619">
        <v>1072459</v>
      </c>
      <c r="L1619" t="s">
        <v>690</v>
      </c>
      <c r="M1619" t="str">
        <f>"8DB355006261"</f>
        <v>8DB355006261</v>
      </c>
      <c r="N1619" t="str">
        <f>"8DB 355 006-261"</f>
        <v>8DB 355 006-261</v>
      </c>
      <c r="O1619" t="str">
        <f>""</f>
        <v/>
      </c>
      <c r="P1619" t="s">
        <v>664</v>
      </c>
      <c r="Q1619" t="str">
        <f>"4082300350579"</f>
        <v>4082300350579</v>
      </c>
      <c r="R1619" t="s">
        <v>693</v>
      </c>
      <c r="S1619" t="s">
        <v>310</v>
      </c>
      <c r="T1619" s="1" t="s">
        <v>694</v>
      </c>
      <c r="U1619">
        <v>402</v>
      </c>
      <c r="V1619" t="s">
        <v>664</v>
      </c>
      <c r="W1619" t="s">
        <v>668</v>
      </c>
      <c r="X1619" t="s">
        <v>224</v>
      </c>
    </row>
    <row r="1620" spans="1:24">
      <c r="A1620">
        <v>13531</v>
      </c>
      <c r="B1620" t="s">
        <v>25</v>
      </c>
      <c r="C1620" t="str">
        <f t="shared" si="52"/>
        <v>INTEGRA Saloon</v>
      </c>
      <c r="D1620" t="str">
        <f t="shared" si="51"/>
        <v>1.6 i</v>
      </c>
      <c r="E1620" t="s">
        <v>26</v>
      </c>
      <c r="F1620">
        <v>198501</v>
      </c>
      <c r="G1620">
        <v>199012</v>
      </c>
      <c r="H1620">
        <v>88</v>
      </c>
      <c r="I1620">
        <v>120</v>
      </c>
      <c r="J1620">
        <v>1590</v>
      </c>
      <c r="K1620">
        <v>1099099</v>
      </c>
      <c r="L1620" t="s">
        <v>318</v>
      </c>
      <c r="M1620" t="str">
        <f>"13046059182"</f>
        <v>13046059182</v>
      </c>
      <c r="N1620" t="str">
        <f>"13.0460-5918.2"</f>
        <v>13.0460-5918.2</v>
      </c>
      <c r="O1620" t="str">
        <f>"605918"</f>
        <v>605918</v>
      </c>
      <c r="P1620" t="s">
        <v>664</v>
      </c>
      <c r="Q1620" t="str">
        <f>"4006633130691"</f>
        <v>4006633130691</v>
      </c>
      <c r="R1620" t="s">
        <v>695</v>
      </c>
      <c r="S1620" t="s">
        <v>696</v>
      </c>
      <c r="T1620" s="1" t="s">
        <v>697</v>
      </c>
      <c r="U1620">
        <v>402</v>
      </c>
      <c r="V1620" t="s">
        <v>664</v>
      </c>
      <c r="W1620" t="s">
        <v>668</v>
      </c>
      <c r="X1620" t="s">
        <v>224</v>
      </c>
    </row>
    <row r="1621" spans="1:24">
      <c r="A1621">
        <v>13531</v>
      </c>
      <c r="B1621" t="s">
        <v>25</v>
      </c>
      <c r="C1621" t="str">
        <f t="shared" si="52"/>
        <v>INTEGRA Saloon</v>
      </c>
      <c r="D1621" t="str">
        <f t="shared" si="51"/>
        <v>1.6 i</v>
      </c>
      <c r="E1621" t="s">
        <v>26</v>
      </c>
      <c r="F1621">
        <v>198501</v>
      </c>
      <c r="G1621">
        <v>199012</v>
      </c>
      <c r="H1621">
        <v>88</v>
      </c>
      <c r="I1621">
        <v>120</v>
      </c>
      <c r="J1621">
        <v>1590</v>
      </c>
      <c r="K1621">
        <v>1152109</v>
      </c>
      <c r="L1621" t="s">
        <v>698</v>
      </c>
      <c r="M1621" t="str">
        <f>"T0034"</f>
        <v>T0034</v>
      </c>
      <c r="N1621" t="str">
        <f>"T0034"</f>
        <v>T0034</v>
      </c>
      <c r="O1621" t="str">
        <f>""</f>
        <v/>
      </c>
      <c r="P1621" t="s">
        <v>664</v>
      </c>
      <c r="Q1621" t="str">
        <f>"4007590005787"</f>
        <v>4007590005787</v>
      </c>
      <c r="R1621" t="s">
        <v>699</v>
      </c>
      <c r="S1621" t="s">
        <v>221</v>
      </c>
      <c r="T1621" s="1" t="s">
        <v>700</v>
      </c>
      <c r="U1621">
        <v>402</v>
      </c>
      <c r="V1621" t="s">
        <v>664</v>
      </c>
      <c r="W1621" t="s">
        <v>668</v>
      </c>
      <c r="X1621" t="s">
        <v>224</v>
      </c>
    </row>
    <row r="1622" spans="1:24">
      <c r="A1622">
        <v>13531</v>
      </c>
      <c r="B1622" t="s">
        <v>25</v>
      </c>
      <c r="C1622" t="str">
        <f t="shared" si="52"/>
        <v>INTEGRA Saloon</v>
      </c>
      <c r="D1622" t="str">
        <f t="shared" si="51"/>
        <v>1.6 i</v>
      </c>
      <c r="E1622" t="s">
        <v>26</v>
      </c>
      <c r="F1622">
        <v>198501</v>
      </c>
      <c r="G1622">
        <v>199012</v>
      </c>
      <c r="H1622">
        <v>88</v>
      </c>
      <c r="I1622">
        <v>120</v>
      </c>
      <c r="J1622">
        <v>1590</v>
      </c>
      <c r="K1622">
        <v>1152163</v>
      </c>
      <c r="L1622" t="s">
        <v>698</v>
      </c>
      <c r="M1622" t="str">
        <f>"T0365"</f>
        <v>T0365</v>
      </c>
      <c r="N1622" t="str">
        <f>"T0365"</f>
        <v>T0365</v>
      </c>
      <c r="O1622" t="str">
        <f>"20099"</f>
        <v>20099</v>
      </c>
      <c r="P1622" t="s">
        <v>664</v>
      </c>
      <c r="Q1622" t="str">
        <f>"4007590000508"</f>
        <v>4007590000508</v>
      </c>
      <c r="R1622" t="s">
        <v>701</v>
      </c>
      <c r="S1622" t="s">
        <v>310</v>
      </c>
      <c r="T1622" s="1" t="s">
        <v>702</v>
      </c>
      <c r="U1622">
        <v>402</v>
      </c>
      <c r="V1622" t="s">
        <v>664</v>
      </c>
      <c r="W1622" t="s">
        <v>668</v>
      </c>
      <c r="X1622" t="s">
        <v>224</v>
      </c>
    </row>
    <row r="1623" spans="1:24">
      <c r="A1623">
        <v>13531</v>
      </c>
      <c r="B1623" t="s">
        <v>25</v>
      </c>
      <c r="C1623" t="str">
        <f t="shared" si="52"/>
        <v>INTEGRA Saloon</v>
      </c>
      <c r="D1623" t="str">
        <f t="shared" si="51"/>
        <v>1.6 i</v>
      </c>
      <c r="E1623" t="s">
        <v>26</v>
      </c>
      <c r="F1623">
        <v>198501</v>
      </c>
      <c r="G1623">
        <v>199012</v>
      </c>
      <c r="H1623">
        <v>88</v>
      </c>
      <c r="I1623">
        <v>120</v>
      </c>
      <c r="J1623">
        <v>1590</v>
      </c>
      <c r="K1623">
        <v>1280894</v>
      </c>
      <c r="L1623" t="s">
        <v>66</v>
      </c>
      <c r="M1623" t="str">
        <f>"598286"</f>
        <v>598286</v>
      </c>
      <c r="N1623" t="str">
        <f>"598286"</f>
        <v>598286</v>
      </c>
      <c r="O1623" t="str">
        <f>"21312"</f>
        <v>21312</v>
      </c>
      <c r="P1623" t="s">
        <v>664</v>
      </c>
      <c r="Q1623" t="str">
        <f>"3276425982864"</f>
        <v>3276425982864</v>
      </c>
      <c r="R1623" s="1" t="s">
        <v>703</v>
      </c>
      <c r="T1623" t="s">
        <v>704</v>
      </c>
      <c r="U1623">
        <v>402</v>
      </c>
      <c r="V1623" t="s">
        <v>664</v>
      </c>
      <c r="W1623" t="s">
        <v>668</v>
      </c>
      <c r="X1623" t="s">
        <v>224</v>
      </c>
    </row>
    <row r="1624" spans="1:24">
      <c r="A1624">
        <v>13531</v>
      </c>
      <c r="B1624" t="s">
        <v>25</v>
      </c>
      <c r="C1624" t="str">
        <f t="shared" si="52"/>
        <v>INTEGRA Saloon</v>
      </c>
      <c r="D1624" t="str">
        <f t="shared" si="51"/>
        <v>1.6 i</v>
      </c>
      <c r="E1624" t="s">
        <v>26</v>
      </c>
      <c r="F1624">
        <v>198501</v>
      </c>
      <c r="G1624">
        <v>199012</v>
      </c>
      <c r="H1624">
        <v>88</v>
      </c>
      <c r="I1624">
        <v>120</v>
      </c>
      <c r="J1624">
        <v>1590</v>
      </c>
      <c r="K1624">
        <v>1281462</v>
      </c>
      <c r="L1624" t="s">
        <v>66</v>
      </c>
      <c r="M1624" t="str">
        <f>"598902"</f>
        <v>598902</v>
      </c>
      <c r="N1624" t="str">
        <f>"598902"</f>
        <v>598902</v>
      </c>
      <c r="O1624" t="str">
        <f>""</f>
        <v/>
      </c>
      <c r="P1624" t="s">
        <v>664</v>
      </c>
      <c r="Q1624" t="str">
        <f>"3276425989023"</f>
        <v>3276425989023</v>
      </c>
      <c r="R1624" t="s">
        <v>705</v>
      </c>
      <c r="T1624" s="1" t="s">
        <v>706</v>
      </c>
      <c r="U1624">
        <v>402</v>
      </c>
      <c r="V1624" t="s">
        <v>664</v>
      </c>
      <c r="W1624" t="s">
        <v>668</v>
      </c>
      <c r="X1624" t="s">
        <v>224</v>
      </c>
    </row>
    <row r="1625" spans="1:24">
      <c r="A1625">
        <v>13531</v>
      </c>
      <c r="B1625" t="s">
        <v>25</v>
      </c>
      <c r="C1625" t="str">
        <f t="shared" si="52"/>
        <v>INTEGRA Saloon</v>
      </c>
      <c r="D1625" t="str">
        <f t="shared" si="51"/>
        <v>1.6 i</v>
      </c>
      <c r="E1625" t="s">
        <v>26</v>
      </c>
      <c r="F1625">
        <v>198501</v>
      </c>
      <c r="G1625">
        <v>199012</v>
      </c>
      <c r="H1625">
        <v>88</v>
      </c>
      <c r="I1625">
        <v>120</v>
      </c>
      <c r="J1625">
        <v>1590</v>
      </c>
      <c r="K1625">
        <v>1626971</v>
      </c>
      <c r="L1625" t="s">
        <v>707</v>
      </c>
      <c r="M1625" t="str">
        <f>"2009902"</f>
        <v>2009902</v>
      </c>
      <c r="N1625" t="str">
        <f>"2009902"</f>
        <v>2009902</v>
      </c>
      <c r="O1625" t="str">
        <f>"20099"</f>
        <v>20099</v>
      </c>
      <c r="P1625" t="s">
        <v>664</v>
      </c>
      <c r="Q1625" t="str">
        <f>"4019722180644"</f>
        <v>4019722180644</v>
      </c>
      <c r="R1625" t="s">
        <v>708</v>
      </c>
      <c r="S1625" t="s">
        <v>310</v>
      </c>
      <c r="T1625" s="1" t="s">
        <v>709</v>
      </c>
      <c r="U1625">
        <v>402</v>
      </c>
      <c r="V1625" t="s">
        <v>664</v>
      </c>
      <c r="W1625" t="s">
        <v>668</v>
      </c>
      <c r="X1625" t="s">
        <v>224</v>
      </c>
    </row>
    <row r="1626" spans="1:24">
      <c r="A1626">
        <v>13531</v>
      </c>
      <c r="B1626" t="s">
        <v>25</v>
      </c>
      <c r="C1626" t="str">
        <f t="shared" si="52"/>
        <v>INTEGRA Saloon</v>
      </c>
      <c r="D1626" t="str">
        <f t="shared" si="51"/>
        <v>1.6 i</v>
      </c>
      <c r="E1626" t="s">
        <v>26</v>
      </c>
      <c r="F1626">
        <v>198501</v>
      </c>
      <c r="G1626">
        <v>199012</v>
      </c>
      <c r="H1626">
        <v>88</v>
      </c>
      <c r="I1626">
        <v>120</v>
      </c>
      <c r="J1626">
        <v>1590</v>
      </c>
      <c r="K1626">
        <v>1627312</v>
      </c>
      <c r="L1626" t="s">
        <v>707</v>
      </c>
      <c r="M1626" t="str">
        <f>"2131201"</f>
        <v>2131201</v>
      </c>
      <c r="N1626" t="str">
        <f>"2131201"</f>
        <v>2131201</v>
      </c>
      <c r="O1626" t="str">
        <f>"21312"</f>
        <v>21312</v>
      </c>
      <c r="P1626" t="s">
        <v>664</v>
      </c>
      <c r="Q1626" t="str">
        <f>"4019722156403"</f>
        <v>4019722156403</v>
      </c>
      <c r="R1626" t="s">
        <v>710</v>
      </c>
      <c r="S1626" t="s">
        <v>221</v>
      </c>
      <c r="T1626" s="1" t="s">
        <v>711</v>
      </c>
      <c r="U1626">
        <v>402</v>
      </c>
      <c r="V1626" t="s">
        <v>664</v>
      </c>
      <c r="W1626" t="s">
        <v>668</v>
      </c>
      <c r="X1626" t="s">
        <v>224</v>
      </c>
    </row>
    <row r="1627" spans="1:24">
      <c r="A1627">
        <v>13531</v>
      </c>
      <c r="B1627" t="s">
        <v>25</v>
      </c>
      <c r="C1627" t="str">
        <f t="shared" si="52"/>
        <v>INTEGRA Saloon</v>
      </c>
      <c r="D1627" t="str">
        <f t="shared" si="51"/>
        <v>1.6 i</v>
      </c>
      <c r="E1627" t="s">
        <v>26</v>
      </c>
      <c r="F1627">
        <v>198501</v>
      </c>
      <c r="G1627">
        <v>199012</v>
      </c>
      <c r="H1627">
        <v>88</v>
      </c>
      <c r="I1627">
        <v>120</v>
      </c>
      <c r="J1627">
        <v>1590</v>
      </c>
      <c r="K1627">
        <v>1680412</v>
      </c>
      <c r="L1627" t="s">
        <v>225</v>
      </c>
      <c r="M1627" t="str">
        <f>"572135J"</f>
        <v>572135J</v>
      </c>
      <c r="N1627" t="str">
        <f>"572135J"</f>
        <v>572135J</v>
      </c>
      <c r="O1627" t="str">
        <f>"21312"</f>
        <v>21312</v>
      </c>
      <c r="P1627" t="s">
        <v>664</v>
      </c>
      <c r="Q1627" t="str">
        <f>"3306435017673"</f>
        <v>3306435017673</v>
      </c>
      <c r="R1627" t="s">
        <v>712</v>
      </c>
      <c r="T1627" s="1" t="s">
        <v>713</v>
      </c>
      <c r="U1627">
        <v>402</v>
      </c>
      <c r="V1627" t="s">
        <v>664</v>
      </c>
      <c r="W1627" t="s">
        <v>668</v>
      </c>
      <c r="X1627" t="s">
        <v>224</v>
      </c>
    </row>
    <row r="1628" spans="1:24">
      <c r="A1628">
        <v>13531</v>
      </c>
      <c r="B1628" t="s">
        <v>25</v>
      </c>
      <c r="C1628" t="str">
        <f t="shared" si="52"/>
        <v>INTEGRA Saloon</v>
      </c>
      <c r="D1628" t="str">
        <f t="shared" si="51"/>
        <v>1.6 i</v>
      </c>
      <c r="E1628" t="s">
        <v>26</v>
      </c>
      <c r="F1628">
        <v>198501</v>
      </c>
      <c r="G1628">
        <v>199012</v>
      </c>
      <c r="H1628">
        <v>88</v>
      </c>
      <c r="I1628">
        <v>120</v>
      </c>
      <c r="J1628">
        <v>1590</v>
      </c>
      <c r="K1628">
        <v>1680521</v>
      </c>
      <c r="L1628" t="s">
        <v>225</v>
      </c>
      <c r="M1628" t="str">
        <f>"572288J"</f>
        <v>572288J</v>
      </c>
      <c r="N1628" t="str">
        <f>"572288J"</f>
        <v>572288J</v>
      </c>
      <c r="O1628" t="str">
        <f>"20099"</f>
        <v>20099</v>
      </c>
      <c r="P1628" t="s">
        <v>664</v>
      </c>
      <c r="Q1628" t="str">
        <f>"3306435020499"</f>
        <v>3306435020499</v>
      </c>
      <c r="R1628" t="s">
        <v>714</v>
      </c>
      <c r="T1628" s="1" t="s">
        <v>715</v>
      </c>
      <c r="U1628">
        <v>402</v>
      </c>
      <c r="V1628" t="s">
        <v>664</v>
      </c>
      <c r="W1628" t="s">
        <v>668</v>
      </c>
      <c r="X1628" t="s">
        <v>224</v>
      </c>
    </row>
    <row r="1629" spans="1:24">
      <c r="A1629">
        <v>13531</v>
      </c>
      <c r="B1629" t="s">
        <v>25</v>
      </c>
      <c r="C1629" t="str">
        <f t="shared" si="52"/>
        <v>INTEGRA Saloon</v>
      </c>
      <c r="D1629" t="str">
        <f t="shared" si="51"/>
        <v>1.6 i</v>
      </c>
      <c r="E1629" t="s">
        <v>26</v>
      </c>
      <c r="F1629">
        <v>198501</v>
      </c>
      <c r="G1629">
        <v>199012</v>
      </c>
      <c r="H1629">
        <v>88</v>
      </c>
      <c r="I1629">
        <v>120</v>
      </c>
      <c r="J1629">
        <v>1590</v>
      </c>
      <c r="K1629">
        <v>1694657</v>
      </c>
      <c r="L1629" t="s">
        <v>332</v>
      </c>
      <c r="M1629" t="str">
        <f>"571977B"</f>
        <v>571977B</v>
      </c>
      <c r="N1629" t="str">
        <f>"571977B"</f>
        <v>571977B</v>
      </c>
      <c r="O1629" t="str">
        <f>"21312"</f>
        <v>21312</v>
      </c>
      <c r="P1629" t="s">
        <v>664</v>
      </c>
      <c r="Q1629" t="str">
        <f>"3306435051714"</f>
        <v>3306435051714</v>
      </c>
      <c r="R1629" t="s">
        <v>716</v>
      </c>
      <c r="S1629" t="s">
        <v>1677</v>
      </c>
      <c r="T1629" s="1" t="s">
        <v>718</v>
      </c>
      <c r="U1629">
        <v>402</v>
      </c>
      <c r="V1629" t="s">
        <v>664</v>
      </c>
      <c r="W1629" t="s">
        <v>668</v>
      </c>
      <c r="X1629" t="s">
        <v>224</v>
      </c>
    </row>
    <row r="1630" spans="1:24">
      <c r="A1630">
        <v>13531</v>
      </c>
      <c r="B1630" t="s">
        <v>25</v>
      </c>
      <c r="C1630" t="str">
        <f t="shared" si="52"/>
        <v>INTEGRA Saloon</v>
      </c>
      <c r="D1630" t="str">
        <f t="shared" si="51"/>
        <v>1.6 i</v>
      </c>
      <c r="E1630" t="s">
        <v>26</v>
      </c>
      <c r="F1630">
        <v>198501</v>
      </c>
      <c r="G1630">
        <v>199012</v>
      </c>
      <c r="H1630">
        <v>88</v>
      </c>
      <c r="I1630">
        <v>120</v>
      </c>
      <c r="J1630">
        <v>1590</v>
      </c>
      <c r="K1630">
        <v>1694658</v>
      </c>
      <c r="L1630" t="s">
        <v>332</v>
      </c>
      <c r="M1630" t="str">
        <f>"571977X"</f>
        <v>571977X</v>
      </c>
      <c r="N1630" t="str">
        <f>"571977X"</f>
        <v>571977X</v>
      </c>
      <c r="O1630" t="str">
        <f>"21312"</f>
        <v>21312</v>
      </c>
      <c r="P1630" t="s">
        <v>664</v>
      </c>
      <c r="Q1630" t="str">
        <f>""</f>
        <v/>
      </c>
      <c r="R1630" t="s">
        <v>719</v>
      </c>
      <c r="S1630" t="s">
        <v>1677</v>
      </c>
      <c r="T1630" s="1" t="s">
        <v>718</v>
      </c>
      <c r="U1630">
        <v>402</v>
      </c>
      <c r="V1630" t="s">
        <v>664</v>
      </c>
      <c r="W1630" t="s">
        <v>668</v>
      </c>
      <c r="X1630" t="s">
        <v>224</v>
      </c>
    </row>
    <row r="1631" spans="1:24">
      <c r="A1631">
        <v>13531</v>
      </c>
      <c r="B1631" t="s">
        <v>25</v>
      </c>
      <c r="C1631" t="str">
        <f t="shared" si="52"/>
        <v>INTEGRA Saloon</v>
      </c>
      <c r="D1631" t="str">
        <f t="shared" si="51"/>
        <v>1.6 i</v>
      </c>
      <c r="E1631" t="s">
        <v>26</v>
      </c>
      <c r="F1631">
        <v>198501</v>
      </c>
      <c r="G1631">
        <v>199012</v>
      </c>
      <c r="H1631">
        <v>88</v>
      </c>
      <c r="I1631">
        <v>120</v>
      </c>
      <c r="J1631">
        <v>1590</v>
      </c>
      <c r="K1631">
        <v>1694829</v>
      </c>
      <c r="L1631" t="s">
        <v>332</v>
      </c>
      <c r="M1631" t="str">
        <f>"572309B"</f>
        <v>572309B</v>
      </c>
      <c r="N1631" t="str">
        <f>"572309B"</f>
        <v>572309B</v>
      </c>
      <c r="O1631" t="str">
        <f>"21446"</f>
        <v>21446</v>
      </c>
      <c r="P1631" t="s">
        <v>664</v>
      </c>
      <c r="Q1631" t="str">
        <f>"3306430346006"</f>
        <v>3306430346006</v>
      </c>
      <c r="R1631" t="s">
        <v>720</v>
      </c>
      <c r="S1631" t="s">
        <v>678</v>
      </c>
      <c r="T1631" s="1" t="s">
        <v>721</v>
      </c>
      <c r="U1631">
        <v>402</v>
      </c>
      <c r="V1631" t="s">
        <v>664</v>
      </c>
      <c r="W1631" t="s">
        <v>668</v>
      </c>
      <c r="X1631" t="s">
        <v>224</v>
      </c>
    </row>
    <row r="1632" spans="1:24">
      <c r="A1632">
        <v>13531</v>
      </c>
      <c r="B1632" t="s">
        <v>25</v>
      </c>
      <c r="C1632" t="str">
        <f t="shared" si="52"/>
        <v>INTEGRA Saloon</v>
      </c>
      <c r="D1632" t="str">
        <f t="shared" si="51"/>
        <v>1.6 i</v>
      </c>
      <c r="E1632" t="s">
        <v>26</v>
      </c>
      <c r="F1632">
        <v>198501</v>
      </c>
      <c r="G1632">
        <v>199012</v>
      </c>
      <c r="H1632">
        <v>88</v>
      </c>
      <c r="I1632">
        <v>120</v>
      </c>
      <c r="J1632">
        <v>1590</v>
      </c>
      <c r="K1632">
        <v>1694848</v>
      </c>
      <c r="L1632" t="s">
        <v>332</v>
      </c>
      <c r="M1632" t="str">
        <f>"572330B"</f>
        <v>572330B</v>
      </c>
      <c r="N1632" t="str">
        <f>"572330B"</f>
        <v>572330B</v>
      </c>
      <c r="O1632" t="str">
        <f>"21323"</f>
        <v>21323</v>
      </c>
      <c r="P1632" t="s">
        <v>664</v>
      </c>
      <c r="Q1632" t="str">
        <f>"3306430346303"</f>
        <v>3306430346303</v>
      </c>
      <c r="R1632" t="s">
        <v>722</v>
      </c>
      <c r="S1632" t="s">
        <v>681</v>
      </c>
      <c r="T1632" s="1" t="s">
        <v>723</v>
      </c>
      <c r="U1632">
        <v>402</v>
      </c>
      <c r="V1632" t="s">
        <v>664</v>
      </c>
      <c r="W1632" t="s">
        <v>668</v>
      </c>
      <c r="X1632" t="s">
        <v>224</v>
      </c>
    </row>
    <row r="1633" spans="1:24">
      <c r="A1633">
        <v>13531</v>
      </c>
      <c r="B1633" t="s">
        <v>25</v>
      </c>
      <c r="C1633" t="str">
        <f t="shared" si="52"/>
        <v>INTEGRA Saloon</v>
      </c>
      <c r="D1633" t="str">
        <f t="shared" si="51"/>
        <v>1.6 i</v>
      </c>
      <c r="E1633" t="s">
        <v>26</v>
      </c>
      <c r="F1633">
        <v>198501</v>
      </c>
      <c r="G1633">
        <v>199012</v>
      </c>
      <c r="H1633">
        <v>88</v>
      </c>
      <c r="I1633">
        <v>120</v>
      </c>
      <c r="J1633">
        <v>1590</v>
      </c>
      <c r="K1633">
        <v>1711748</v>
      </c>
      <c r="L1633" t="s">
        <v>724</v>
      </c>
      <c r="M1633" t="str">
        <f>"BL1021A2"</f>
        <v>BL1021A2</v>
      </c>
      <c r="N1633" t="str">
        <f>"BL1021A2"</f>
        <v>BL1021A2</v>
      </c>
      <c r="O1633" t="str">
        <f>"20099"</f>
        <v>20099</v>
      </c>
      <c r="P1633" t="s">
        <v>664</v>
      </c>
      <c r="Q1633" t="str">
        <f>"4028569283401"</f>
        <v>4028569283401</v>
      </c>
      <c r="R1633" t="s">
        <v>725</v>
      </c>
      <c r="S1633" t="s">
        <v>726</v>
      </c>
      <c r="T1633" s="1" t="s">
        <v>727</v>
      </c>
      <c r="U1633">
        <v>402</v>
      </c>
      <c r="V1633" t="s">
        <v>664</v>
      </c>
      <c r="W1633" t="s">
        <v>668</v>
      </c>
      <c r="X1633" t="s">
        <v>224</v>
      </c>
    </row>
    <row r="1634" spans="1:24">
      <c r="A1634">
        <v>13531</v>
      </c>
      <c r="B1634" t="s">
        <v>25</v>
      </c>
      <c r="C1634" t="str">
        <f t="shared" si="52"/>
        <v>INTEGRA Saloon</v>
      </c>
      <c r="D1634" t="str">
        <f t="shared" si="51"/>
        <v>1.6 i</v>
      </c>
      <c r="E1634" t="s">
        <v>26</v>
      </c>
      <c r="F1634">
        <v>198501</v>
      </c>
      <c r="G1634">
        <v>199012</v>
      </c>
      <c r="H1634">
        <v>88</v>
      </c>
      <c r="I1634">
        <v>120</v>
      </c>
      <c r="J1634">
        <v>1590</v>
      </c>
      <c r="K1634">
        <v>1712049</v>
      </c>
      <c r="L1634" t="s">
        <v>724</v>
      </c>
      <c r="M1634" t="str">
        <f>"BL1321A2"</f>
        <v>BL1321A2</v>
      </c>
      <c r="N1634" t="str">
        <f>"BL1321A2"</f>
        <v>BL1321A2</v>
      </c>
      <c r="O1634" t="str">
        <f>"21446"</f>
        <v>21446</v>
      </c>
      <c r="P1634" t="s">
        <v>664</v>
      </c>
      <c r="Q1634" t="str">
        <f>"4028569286518"</f>
        <v>4028569286518</v>
      </c>
      <c r="R1634" t="s">
        <v>728</v>
      </c>
      <c r="S1634" t="s">
        <v>729</v>
      </c>
      <c r="T1634" s="1" t="s">
        <v>730</v>
      </c>
      <c r="U1634">
        <v>402</v>
      </c>
      <c r="V1634" t="s">
        <v>664</v>
      </c>
      <c r="W1634" t="s">
        <v>668</v>
      </c>
      <c r="X1634" t="s">
        <v>224</v>
      </c>
    </row>
    <row r="1635" spans="1:24">
      <c r="A1635">
        <v>13531</v>
      </c>
      <c r="B1635" t="s">
        <v>25</v>
      </c>
      <c r="C1635" t="str">
        <f t="shared" si="52"/>
        <v>INTEGRA Saloon</v>
      </c>
      <c r="D1635" t="str">
        <f t="shared" si="51"/>
        <v>1.6 i</v>
      </c>
      <c r="E1635" t="s">
        <v>26</v>
      </c>
      <c r="F1635">
        <v>198501</v>
      </c>
      <c r="G1635">
        <v>199012</v>
      </c>
      <c r="H1635">
        <v>88</v>
      </c>
      <c r="I1635">
        <v>120</v>
      </c>
      <c r="J1635">
        <v>1590</v>
      </c>
      <c r="K1635">
        <v>1713197</v>
      </c>
      <c r="L1635" t="s">
        <v>724</v>
      </c>
      <c r="M1635" t="str">
        <f>"BL2349A1"</f>
        <v>BL2349A1</v>
      </c>
      <c r="N1635" t="str">
        <f>"BL2349A1"</f>
        <v>BL2349A1</v>
      </c>
      <c r="O1635" t="str">
        <f>"21312"</f>
        <v>21312</v>
      </c>
      <c r="P1635" t="s">
        <v>664</v>
      </c>
      <c r="Q1635" t="str">
        <f>"4028569681870"</f>
        <v>4028569681870</v>
      </c>
      <c r="R1635" s="1" t="s">
        <v>731</v>
      </c>
      <c r="S1635" t="s">
        <v>732</v>
      </c>
      <c r="T1635" s="1" t="s">
        <v>733</v>
      </c>
      <c r="U1635">
        <v>402</v>
      </c>
      <c r="V1635" t="s">
        <v>664</v>
      </c>
      <c r="W1635" t="s">
        <v>668</v>
      </c>
      <c r="X1635" t="s">
        <v>224</v>
      </c>
    </row>
    <row r="1636" spans="1:24">
      <c r="A1636">
        <v>13531</v>
      </c>
      <c r="B1636" t="s">
        <v>25</v>
      </c>
      <c r="C1636" t="str">
        <f t="shared" si="52"/>
        <v>INTEGRA Saloon</v>
      </c>
      <c r="D1636" t="str">
        <f t="shared" si="51"/>
        <v>1.6 i</v>
      </c>
      <c r="E1636" t="s">
        <v>26</v>
      </c>
      <c r="F1636">
        <v>198501</v>
      </c>
      <c r="G1636">
        <v>199012</v>
      </c>
      <c r="H1636">
        <v>88</v>
      </c>
      <c r="I1636">
        <v>120</v>
      </c>
      <c r="J1636">
        <v>1590</v>
      </c>
      <c r="K1636">
        <v>1713198</v>
      </c>
      <c r="L1636" t="s">
        <v>724</v>
      </c>
      <c r="M1636" t="str">
        <f>"BL2349B1"</f>
        <v>BL2349B1</v>
      </c>
      <c r="N1636" t="str">
        <f>"BL2349B1"</f>
        <v>BL2349B1</v>
      </c>
      <c r="O1636" t="str">
        <f>"21312"</f>
        <v>21312</v>
      </c>
      <c r="P1636" t="s">
        <v>664</v>
      </c>
      <c r="Q1636" t="str">
        <f>"4028569681887"</f>
        <v>4028569681887</v>
      </c>
      <c r="R1636" s="1" t="s">
        <v>734</v>
      </c>
      <c r="S1636" t="s">
        <v>732</v>
      </c>
      <c r="T1636" s="1" t="s">
        <v>735</v>
      </c>
      <c r="U1636">
        <v>402</v>
      </c>
      <c r="V1636" t="s">
        <v>664</v>
      </c>
      <c r="W1636" t="s">
        <v>668</v>
      </c>
      <c r="X1636" t="s">
        <v>224</v>
      </c>
    </row>
    <row r="1637" spans="1:24">
      <c r="A1637">
        <v>13531</v>
      </c>
      <c r="B1637" t="s">
        <v>25</v>
      </c>
      <c r="C1637" t="str">
        <f t="shared" si="52"/>
        <v>INTEGRA Saloon</v>
      </c>
      <c r="D1637" t="str">
        <f t="shared" si="51"/>
        <v>1.6 i</v>
      </c>
      <c r="E1637" t="s">
        <v>26</v>
      </c>
      <c r="F1637">
        <v>198501</v>
      </c>
      <c r="G1637">
        <v>199012</v>
      </c>
      <c r="H1637">
        <v>88</v>
      </c>
      <c r="I1637">
        <v>120</v>
      </c>
      <c r="J1637">
        <v>1590</v>
      </c>
      <c r="K1637">
        <v>1817198</v>
      </c>
      <c r="L1637" t="s">
        <v>228</v>
      </c>
      <c r="M1637" t="str">
        <f>"FDB454"</f>
        <v>FDB454</v>
      </c>
      <c r="N1637" t="str">
        <f>"FDB454"</f>
        <v>FDB454</v>
      </c>
      <c r="O1637" t="str">
        <f>"20099"</f>
        <v>20099</v>
      </c>
      <c r="P1637" t="s">
        <v>664</v>
      </c>
      <c r="Q1637" t="str">
        <f>"5016687025378"</f>
        <v>5016687025378</v>
      </c>
      <c r="R1637" s="1" t="s">
        <v>736</v>
      </c>
      <c r="T1637" s="1" t="s">
        <v>737</v>
      </c>
      <c r="U1637">
        <v>402</v>
      </c>
      <c r="V1637" t="s">
        <v>664</v>
      </c>
      <c r="W1637" t="s">
        <v>668</v>
      </c>
      <c r="X1637" t="s">
        <v>224</v>
      </c>
    </row>
    <row r="1638" spans="1:24">
      <c r="A1638">
        <v>13531</v>
      </c>
      <c r="B1638" t="s">
        <v>25</v>
      </c>
      <c r="C1638" t="str">
        <f t="shared" si="52"/>
        <v>INTEGRA Saloon</v>
      </c>
      <c r="D1638" t="str">
        <f t="shared" si="51"/>
        <v>1.6 i</v>
      </c>
      <c r="E1638" t="s">
        <v>26</v>
      </c>
      <c r="F1638">
        <v>198501</v>
      </c>
      <c r="G1638">
        <v>199012</v>
      </c>
      <c r="H1638">
        <v>88</v>
      </c>
      <c r="I1638">
        <v>120</v>
      </c>
      <c r="J1638">
        <v>1590</v>
      </c>
      <c r="K1638">
        <v>1817220</v>
      </c>
      <c r="L1638" t="s">
        <v>228</v>
      </c>
      <c r="M1638" t="str">
        <f>"FDB472"</f>
        <v>FDB472</v>
      </c>
      <c r="N1638" t="str">
        <f>"FDB472"</f>
        <v>FDB472</v>
      </c>
      <c r="O1638" t="str">
        <f>"21312"</f>
        <v>21312</v>
      </c>
      <c r="P1638" t="s">
        <v>664</v>
      </c>
      <c r="Q1638" t="str">
        <f>"5016687026276"</f>
        <v>5016687026276</v>
      </c>
      <c r="R1638" s="1" t="s">
        <v>738</v>
      </c>
      <c r="T1638" s="1" t="s">
        <v>739</v>
      </c>
      <c r="U1638">
        <v>402</v>
      </c>
      <c r="V1638" t="s">
        <v>664</v>
      </c>
      <c r="W1638" t="s">
        <v>668</v>
      </c>
      <c r="X1638" t="s">
        <v>224</v>
      </c>
    </row>
    <row r="1639" spans="1:24">
      <c r="A1639">
        <v>13531</v>
      </c>
      <c r="B1639" t="s">
        <v>25</v>
      </c>
      <c r="C1639" t="str">
        <f t="shared" si="52"/>
        <v>INTEGRA Saloon</v>
      </c>
      <c r="D1639" t="str">
        <f t="shared" si="51"/>
        <v>1.6 i</v>
      </c>
      <c r="E1639" t="s">
        <v>26</v>
      </c>
      <c r="F1639">
        <v>198501</v>
      </c>
      <c r="G1639">
        <v>199012</v>
      </c>
      <c r="H1639">
        <v>88</v>
      </c>
      <c r="I1639">
        <v>120</v>
      </c>
      <c r="J1639">
        <v>1590</v>
      </c>
      <c r="K1639">
        <v>1821785</v>
      </c>
      <c r="L1639" t="s">
        <v>228</v>
      </c>
      <c r="M1639" t="str">
        <f>"FSL472"</f>
        <v>FSL472</v>
      </c>
      <c r="N1639" t="str">
        <f>"FSL472"</f>
        <v>FSL472</v>
      </c>
      <c r="O1639" t="str">
        <f>"21312"</f>
        <v>21312</v>
      </c>
      <c r="P1639" t="s">
        <v>664</v>
      </c>
      <c r="Q1639" t="str">
        <f>"4044197300501"</f>
        <v>4044197300501</v>
      </c>
      <c r="R1639" t="s">
        <v>740</v>
      </c>
      <c r="T1639" s="1" t="s">
        <v>741</v>
      </c>
      <c r="U1639">
        <v>402</v>
      </c>
      <c r="V1639" t="s">
        <v>664</v>
      </c>
      <c r="W1639" t="s">
        <v>668</v>
      </c>
      <c r="X1639" t="s">
        <v>224</v>
      </c>
    </row>
    <row r="1640" spans="1:24">
      <c r="A1640">
        <v>13531</v>
      </c>
      <c r="B1640" t="s">
        <v>25</v>
      </c>
      <c r="C1640" t="str">
        <f t="shared" si="52"/>
        <v>INTEGRA Saloon</v>
      </c>
      <c r="D1640" t="str">
        <f t="shared" si="51"/>
        <v>1.6 i</v>
      </c>
      <c r="E1640" t="s">
        <v>26</v>
      </c>
      <c r="F1640">
        <v>198501</v>
      </c>
      <c r="G1640">
        <v>199012</v>
      </c>
      <c r="H1640">
        <v>88</v>
      </c>
      <c r="I1640">
        <v>120</v>
      </c>
      <c r="J1640">
        <v>1590</v>
      </c>
      <c r="K1640">
        <v>1894566</v>
      </c>
      <c r="L1640" t="s">
        <v>231</v>
      </c>
      <c r="M1640" t="str">
        <f>"P28010"</f>
        <v>P28010</v>
      </c>
      <c r="N1640" t="str">
        <f>"P 28 010"</f>
        <v>P 28 010</v>
      </c>
      <c r="O1640" t="str">
        <f>"20099"</f>
        <v>20099</v>
      </c>
      <c r="P1640" t="s">
        <v>664</v>
      </c>
      <c r="Q1640" t="str">
        <f>"8020584052440"</f>
        <v>8020584052440</v>
      </c>
      <c r="R1640" t="s">
        <v>742</v>
      </c>
      <c r="S1640" t="s">
        <v>310</v>
      </c>
      <c r="T1640" s="1" t="s">
        <v>743</v>
      </c>
      <c r="U1640">
        <v>402</v>
      </c>
      <c r="V1640" t="s">
        <v>664</v>
      </c>
      <c r="W1640" t="s">
        <v>668</v>
      </c>
      <c r="X1640" t="s">
        <v>224</v>
      </c>
    </row>
    <row r="1641" spans="1:24">
      <c r="A1641">
        <v>13531</v>
      </c>
      <c r="B1641" t="s">
        <v>25</v>
      </c>
      <c r="C1641" t="str">
        <f t="shared" si="52"/>
        <v>INTEGRA Saloon</v>
      </c>
      <c r="D1641" t="str">
        <f t="shared" si="51"/>
        <v>1.6 i</v>
      </c>
      <c r="E1641" t="s">
        <v>26</v>
      </c>
      <c r="F1641">
        <v>198501</v>
      </c>
      <c r="G1641">
        <v>199012</v>
      </c>
      <c r="H1641">
        <v>88</v>
      </c>
      <c r="I1641">
        <v>120</v>
      </c>
      <c r="J1641">
        <v>1590</v>
      </c>
      <c r="K1641">
        <v>1894571</v>
      </c>
      <c r="L1641" t="s">
        <v>231</v>
      </c>
      <c r="M1641" t="str">
        <f>"P28017"</f>
        <v>P28017</v>
      </c>
      <c r="N1641" t="str">
        <f>"P 28 017"</f>
        <v>P 28 017</v>
      </c>
      <c r="O1641" t="str">
        <f>"21312"</f>
        <v>21312</v>
      </c>
      <c r="P1641" t="s">
        <v>664</v>
      </c>
      <c r="Q1641" t="str">
        <f>"8020584052518"</f>
        <v>8020584052518</v>
      </c>
      <c r="R1641" t="s">
        <v>744</v>
      </c>
      <c r="S1641" t="s">
        <v>221</v>
      </c>
      <c r="T1641" s="1" t="s">
        <v>745</v>
      </c>
      <c r="U1641">
        <v>402</v>
      </c>
      <c r="V1641" t="s">
        <v>664</v>
      </c>
      <c r="W1641" t="s">
        <v>668</v>
      </c>
      <c r="X1641" t="s">
        <v>224</v>
      </c>
    </row>
    <row r="1642" spans="1:24">
      <c r="A1642">
        <v>13531</v>
      </c>
      <c r="B1642" t="s">
        <v>25</v>
      </c>
      <c r="C1642" t="str">
        <f t="shared" si="52"/>
        <v>INTEGRA Saloon</v>
      </c>
      <c r="D1642" t="str">
        <f t="shared" si="51"/>
        <v>1.6 i</v>
      </c>
      <c r="E1642" t="s">
        <v>26</v>
      </c>
      <c r="F1642">
        <v>198501</v>
      </c>
      <c r="G1642">
        <v>199012</v>
      </c>
      <c r="H1642">
        <v>88</v>
      </c>
      <c r="I1642">
        <v>120</v>
      </c>
      <c r="J1642">
        <v>1590</v>
      </c>
      <c r="K1642">
        <v>1919786</v>
      </c>
      <c r="L1642" t="s">
        <v>746</v>
      </c>
      <c r="M1642" t="str">
        <f>"MDB1344"</f>
        <v>MDB1344</v>
      </c>
      <c r="N1642" t="str">
        <f>"MDB1344"</f>
        <v>MDB1344</v>
      </c>
      <c r="O1642" t="str">
        <f>"20099"</f>
        <v>20099</v>
      </c>
      <c r="P1642" t="s">
        <v>664</v>
      </c>
      <c r="Q1642" t="str">
        <f>"5028740002486"</f>
        <v>5028740002486</v>
      </c>
      <c r="R1642" t="s">
        <v>747</v>
      </c>
      <c r="S1642" t="s">
        <v>310</v>
      </c>
      <c r="T1642" s="1" t="s">
        <v>748</v>
      </c>
      <c r="U1642">
        <v>402</v>
      </c>
      <c r="V1642" t="s">
        <v>664</v>
      </c>
      <c r="W1642" t="s">
        <v>668</v>
      </c>
      <c r="X1642" t="s">
        <v>224</v>
      </c>
    </row>
    <row r="1643" spans="1:24">
      <c r="A1643">
        <v>13531</v>
      </c>
      <c r="B1643" t="s">
        <v>25</v>
      </c>
      <c r="C1643" t="str">
        <f t="shared" si="52"/>
        <v>INTEGRA Saloon</v>
      </c>
      <c r="D1643" t="str">
        <f t="shared" si="51"/>
        <v>1.6 i</v>
      </c>
      <c r="E1643" t="s">
        <v>26</v>
      </c>
      <c r="F1643">
        <v>198501</v>
      </c>
      <c r="G1643">
        <v>199012</v>
      </c>
      <c r="H1643">
        <v>88</v>
      </c>
      <c r="I1643">
        <v>120</v>
      </c>
      <c r="J1643">
        <v>1590</v>
      </c>
      <c r="K1643">
        <v>1919799</v>
      </c>
      <c r="L1643" t="s">
        <v>746</v>
      </c>
      <c r="M1643" t="str">
        <f>"MDB1360"</f>
        <v>MDB1360</v>
      </c>
      <c r="N1643" t="str">
        <f>"MDB1360"</f>
        <v>MDB1360</v>
      </c>
      <c r="O1643" t="str">
        <f>"21312"</f>
        <v>21312</v>
      </c>
      <c r="P1643" t="s">
        <v>664</v>
      </c>
      <c r="Q1643" t="str">
        <f>"5028740002639"</f>
        <v>5028740002639</v>
      </c>
      <c r="R1643" t="s">
        <v>749</v>
      </c>
      <c r="S1643" t="s">
        <v>221</v>
      </c>
      <c r="T1643" s="1" t="s">
        <v>750</v>
      </c>
      <c r="U1643">
        <v>402</v>
      </c>
      <c r="V1643" t="s">
        <v>664</v>
      </c>
      <c r="W1643" t="s">
        <v>668</v>
      </c>
      <c r="X1643" t="s">
        <v>224</v>
      </c>
    </row>
    <row r="1644" spans="1:24">
      <c r="A1644">
        <v>13531</v>
      </c>
      <c r="B1644" t="s">
        <v>25</v>
      </c>
      <c r="C1644" t="str">
        <f t="shared" si="52"/>
        <v>INTEGRA Saloon</v>
      </c>
      <c r="D1644" t="str">
        <f t="shared" si="51"/>
        <v>1.6 i</v>
      </c>
      <c r="E1644" t="s">
        <v>26</v>
      </c>
      <c r="F1644">
        <v>198501</v>
      </c>
      <c r="G1644">
        <v>199012</v>
      </c>
      <c r="H1644">
        <v>88</v>
      </c>
      <c r="I1644">
        <v>120</v>
      </c>
      <c r="J1644">
        <v>1590</v>
      </c>
      <c r="K1644">
        <v>1919830</v>
      </c>
      <c r="L1644" t="s">
        <v>746</v>
      </c>
      <c r="M1644" t="str">
        <f>"MDB1411"</f>
        <v>MDB1411</v>
      </c>
      <c r="N1644" t="str">
        <f>"MDB1411"</f>
        <v>MDB1411</v>
      </c>
      <c r="O1644" t="str">
        <f>"21312"</f>
        <v>21312</v>
      </c>
      <c r="P1644" t="s">
        <v>664</v>
      </c>
      <c r="Q1644" t="str">
        <f>"5028740003063"</f>
        <v>5028740003063</v>
      </c>
      <c r="R1644" t="s">
        <v>751</v>
      </c>
      <c r="S1644" t="s">
        <v>221</v>
      </c>
      <c r="T1644" s="1" t="s">
        <v>752</v>
      </c>
      <c r="U1644">
        <v>402</v>
      </c>
      <c r="V1644" t="s">
        <v>664</v>
      </c>
      <c r="W1644" t="s">
        <v>668</v>
      </c>
      <c r="X1644" t="s">
        <v>224</v>
      </c>
    </row>
    <row r="1645" spans="1:24">
      <c r="A1645">
        <v>13531</v>
      </c>
      <c r="B1645" t="s">
        <v>25</v>
      </c>
      <c r="C1645" t="str">
        <f t="shared" si="52"/>
        <v>INTEGRA Saloon</v>
      </c>
      <c r="D1645" t="str">
        <f t="shared" si="51"/>
        <v>1.6 i</v>
      </c>
      <c r="E1645" t="s">
        <v>26</v>
      </c>
      <c r="F1645">
        <v>198501</v>
      </c>
      <c r="G1645">
        <v>199012</v>
      </c>
      <c r="H1645">
        <v>88</v>
      </c>
      <c r="I1645">
        <v>120</v>
      </c>
      <c r="J1645">
        <v>1590</v>
      </c>
      <c r="K1645">
        <v>2053896</v>
      </c>
      <c r="L1645" t="s">
        <v>753</v>
      </c>
      <c r="M1645" t="str">
        <f>"023302"</f>
        <v>023302</v>
      </c>
      <c r="N1645" t="str">
        <f>"0233.02"</f>
        <v>0233.02</v>
      </c>
      <c r="O1645" t="str">
        <f>"21312"</f>
        <v>21312</v>
      </c>
      <c r="P1645" t="s">
        <v>664</v>
      </c>
      <c r="Q1645" t="str">
        <f>"8427975005731"</f>
        <v>8427975005731</v>
      </c>
      <c r="R1645" s="1" t="s">
        <v>754</v>
      </c>
      <c r="T1645" s="1" t="s">
        <v>755</v>
      </c>
      <c r="U1645">
        <v>402</v>
      </c>
      <c r="V1645" t="s">
        <v>664</v>
      </c>
      <c r="W1645" t="s">
        <v>668</v>
      </c>
      <c r="X1645" t="s">
        <v>224</v>
      </c>
    </row>
    <row r="1646" spans="1:24">
      <c r="A1646">
        <v>13531</v>
      </c>
      <c r="B1646" t="s">
        <v>25</v>
      </c>
      <c r="C1646" t="str">
        <f t="shared" si="52"/>
        <v>INTEGRA Saloon</v>
      </c>
      <c r="D1646" t="str">
        <f t="shared" si="51"/>
        <v>1.6 i</v>
      </c>
      <c r="E1646" t="s">
        <v>26</v>
      </c>
      <c r="F1646">
        <v>198501</v>
      </c>
      <c r="G1646">
        <v>199012</v>
      </c>
      <c r="H1646">
        <v>88</v>
      </c>
      <c r="I1646">
        <v>120</v>
      </c>
      <c r="J1646">
        <v>1590</v>
      </c>
      <c r="K1646">
        <v>2060438</v>
      </c>
      <c r="L1646" t="s">
        <v>753</v>
      </c>
      <c r="M1646" t="str">
        <f>"1170251"</f>
        <v>1170251</v>
      </c>
      <c r="N1646" t="str">
        <f>"1170251"</f>
        <v>1170251</v>
      </c>
      <c r="O1646" t="str">
        <f>"21312"</f>
        <v>21312</v>
      </c>
      <c r="P1646" t="s">
        <v>664</v>
      </c>
      <c r="Q1646" t="str">
        <f>"4250032669416"</f>
        <v>4250032669416</v>
      </c>
      <c r="R1646" t="s">
        <v>756</v>
      </c>
      <c r="T1646" s="1" t="s">
        <v>755</v>
      </c>
      <c r="U1646">
        <v>402</v>
      </c>
      <c r="V1646" t="s">
        <v>664</v>
      </c>
      <c r="W1646" t="s">
        <v>668</v>
      </c>
      <c r="X1646" t="s">
        <v>224</v>
      </c>
    </row>
    <row r="1647" spans="1:24">
      <c r="A1647">
        <v>13531</v>
      </c>
      <c r="B1647" t="s">
        <v>25</v>
      </c>
      <c r="C1647" t="str">
        <f t="shared" si="52"/>
        <v>INTEGRA Saloon</v>
      </c>
      <c r="D1647" t="str">
        <f t="shared" si="51"/>
        <v>1.6 i</v>
      </c>
      <c r="E1647" t="s">
        <v>26</v>
      </c>
      <c r="F1647">
        <v>198501</v>
      </c>
      <c r="G1647">
        <v>199012</v>
      </c>
      <c r="H1647">
        <v>88</v>
      </c>
      <c r="I1647">
        <v>120</v>
      </c>
      <c r="J1647">
        <v>1590</v>
      </c>
      <c r="K1647">
        <v>2113897</v>
      </c>
      <c r="L1647" t="s">
        <v>95</v>
      </c>
      <c r="M1647" t="str">
        <f>"363700200034"</f>
        <v>363700200034</v>
      </c>
      <c r="N1647" t="str">
        <f>"363700200034"</f>
        <v>363700200034</v>
      </c>
      <c r="O1647" t="str">
        <f>"T0034MM"</f>
        <v>T0034MM</v>
      </c>
      <c r="P1647" t="s">
        <v>664</v>
      </c>
      <c r="Q1647" t="str">
        <f>"8001063554853"</f>
        <v>8001063554853</v>
      </c>
      <c r="R1647" t="s">
        <v>757</v>
      </c>
      <c r="S1647" t="s">
        <v>221</v>
      </c>
      <c r="T1647" s="1" t="s">
        <v>758</v>
      </c>
      <c r="U1647">
        <v>402</v>
      </c>
      <c r="V1647" t="s">
        <v>664</v>
      </c>
      <c r="W1647" t="s">
        <v>668</v>
      </c>
      <c r="X1647" t="s">
        <v>224</v>
      </c>
    </row>
    <row r="1648" spans="1:24">
      <c r="A1648">
        <v>13531</v>
      </c>
      <c r="B1648" t="s">
        <v>25</v>
      </c>
      <c r="C1648" t="str">
        <f t="shared" si="52"/>
        <v>INTEGRA Saloon</v>
      </c>
      <c r="D1648" t="str">
        <f t="shared" si="51"/>
        <v>1.6 i</v>
      </c>
      <c r="E1648" t="s">
        <v>26</v>
      </c>
      <c r="F1648">
        <v>198501</v>
      </c>
      <c r="G1648">
        <v>199012</v>
      </c>
      <c r="H1648">
        <v>88</v>
      </c>
      <c r="I1648">
        <v>120</v>
      </c>
      <c r="J1648">
        <v>1590</v>
      </c>
      <c r="K1648">
        <v>2117469</v>
      </c>
      <c r="L1648" t="s">
        <v>95</v>
      </c>
      <c r="M1648" t="str">
        <f>"363916060457"</f>
        <v>363916060457</v>
      </c>
      <c r="N1648" t="str">
        <f>"363916060457"</f>
        <v>363916060457</v>
      </c>
      <c r="O1648" t="str">
        <f>"PF0457"</f>
        <v>PF0457</v>
      </c>
      <c r="P1648" t="s">
        <v>664</v>
      </c>
      <c r="Q1648" t="str">
        <f>"8001063679624"</f>
        <v>8001063679624</v>
      </c>
      <c r="R1648" t="s">
        <v>759</v>
      </c>
      <c r="S1648" t="s">
        <v>221</v>
      </c>
      <c r="T1648" s="1" t="s">
        <v>760</v>
      </c>
      <c r="U1648">
        <v>402</v>
      </c>
      <c r="V1648" t="s">
        <v>664</v>
      </c>
      <c r="W1648" t="s">
        <v>668</v>
      </c>
      <c r="X1648" t="s">
        <v>224</v>
      </c>
    </row>
    <row r="1649" spans="1:24">
      <c r="A1649">
        <v>13531</v>
      </c>
      <c r="B1649" t="s">
        <v>25</v>
      </c>
      <c r="C1649" t="str">
        <f t="shared" si="52"/>
        <v>INTEGRA Saloon</v>
      </c>
      <c r="D1649" t="str">
        <f t="shared" si="51"/>
        <v>1.6 i</v>
      </c>
      <c r="E1649" t="s">
        <v>26</v>
      </c>
      <c r="F1649">
        <v>198501</v>
      </c>
      <c r="G1649">
        <v>199012</v>
      </c>
      <c r="H1649">
        <v>88</v>
      </c>
      <c r="I1649">
        <v>120</v>
      </c>
      <c r="J1649">
        <v>1590</v>
      </c>
      <c r="K1649">
        <v>2203625</v>
      </c>
      <c r="L1649" t="s">
        <v>181</v>
      </c>
      <c r="M1649" t="str">
        <f>"811021004"</f>
        <v>811021004</v>
      </c>
      <c r="N1649" t="str">
        <f>"8110 21004"</f>
        <v>8110 21004</v>
      </c>
      <c r="O1649" t="str">
        <f>""</f>
        <v/>
      </c>
      <c r="P1649" t="s">
        <v>664</v>
      </c>
      <c r="Q1649" t="str">
        <f>"5709147852552"</f>
        <v>5709147852552</v>
      </c>
      <c r="R1649" t="s">
        <v>761</v>
      </c>
      <c r="S1649" t="s">
        <v>221</v>
      </c>
      <c r="T1649" s="1" t="s">
        <v>762</v>
      </c>
      <c r="U1649">
        <v>402</v>
      </c>
      <c r="V1649" t="s">
        <v>664</v>
      </c>
      <c r="W1649" t="s">
        <v>668</v>
      </c>
      <c r="X1649" t="s">
        <v>224</v>
      </c>
    </row>
    <row r="1650" spans="1:24">
      <c r="A1650">
        <v>13531</v>
      </c>
      <c r="B1650" t="s">
        <v>25</v>
      </c>
      <c r="C1650" t="str">
        <f t="shared" si="52"/>
        <v>INTEGRA Saloon</v>
      </c>
      <c r="D1650" t="str">
        <f t="shared" si="51"/>
        <v>1.6 i</v>
      </c>
      <c r="E1650" t="s">
        <v>26</v>
      </c>
      <c r="F1650">
        <v>198501</v>
      </c>
      <c r="G1650">
        <v>199012</v>
      </c>
      <c r="H1650">
        <v>88</v>
      </c>
      <c r="I1650">
        <v>120</v>
      </c>
      <c r="J1650">
        <v>1590</v>
      </c>
      <c r="K1650">
        <v>2204057</v>
      </c>
      <c r="L1650" t="s">
        <v>181</v>
      </c>
      <c r="M1650" t="str">
        <f>"811040853"</f>
        <v>811040853</v>
      </c>
      <c r="N1650" t="str">
        <f>"8110 40853"</f>
        <v>8110 40853</v>
      </c>
      <c r="O1650" t="str">
        <f>""</f>
        <v/>
      </c>
      <c r="P1650" t="s">
        <v>664</v>
      </c>
      <c r="Q1650" t="str">
        <f>""</f>
        <v/>
      </c>
      <c r="S1650" t="s">
        <v>310</v>
      </c>
      <c r="U1650">
        <v>402</v>
      </c>
      <c r="V1650" t="s">
        <v>664</v>
      </c>
      <c r="W1650" t="s">
        <v>668</v>
      </c>
      <c r="X1650" t="s">
        <v>224</v>
      </c>
    </row>
    <row r="1651" spans="1:24">
      <c r="A1651">
        <v>13531</v>
      </c>
      <c r="B1651" t="s">
        <v>25</v>
      </c>
      <c r="C1651" t="str">
        <f t="shared" si="52"/>
        <v>INTEGRA Saloon</v>
      </c>
      <c r="D1651" t="str">
        <f t="shared" si="51"/>
        <v>1.6 i</v>
      </c>
      <c r="E1651" t="s">
        <v>26</v>
      </c>
      <c r="F1651">
        <v>198501</v>
      </c>
      <c r="G1651">
        <v>199012</v>
      </c>
      <c r="H1651">
        <v>88</v>
      </c>
      <c r="I1651">
        <v>120</v>
      </c>
      <c r="J1651">
        <v>1590</v>
      </c>
      <c r="K1651">
        <v>2204065</v>
      </c>
      <c r="L1651" t="s">
        <v>181</v>
      </c>
      <c r="M1651" t="str">
        <f>"811040978"</f>
        <v>811040978</v>
      </c>
      <c r="N1651" t="str">
        <f>"8110 40978"</f>
        <v>8110 40978</v>
      </c>
      <c r="O1651" t="str">
        <f>""</f>
        <v/>
      </c>
      <c r="P1651" t="s">
        <v>664</v>
      </c>
      <c r="Q1651" t="str">
        <f>"5709147321362"</f>
        <v>5709147321362</v>
      </c>
      <c r="R1651" t="s">
        <v>763</v>
      </c>
      <c r="S1651" t="s">
        <v>221</v>
      </c>
      <c r="T1651" s="1" t="s">
        <v>764</v>
      </c>
      <c r="U1651">
        <v>402</v>
      </c>
      <c r="V1651" t="s">
        <v>664</v>
      </c>
      <c r="W1651" t="s">
        <v>668</v>
      </c>
      <c r="X1651" t="s">
        <v>224</v>
      </c>
    </row>
    <row r="1652" spans="1:24">
      <c r="A1652">
        <v>13531</v>
      </c>
      <c r="B1652" t="s">
        <v>25</v>
      </c>
      <c r="C1652" t="str">
        <f t="shared" si="52"/>
        <v>INTEGRA Saloon</v>
      </c>
      <c r="D1652" t="str">
        <f t="shared" si="51"/>
        <v>1.6 i</v>
      </c>
      <c r="E1652" t="s">
        <v>26</v>
      </c>
      <c r="F1652">
        <v>198501</v>
      </c>
      <c r="G1652">
        <v>199012</v>
      </c>
      <c r="H1652">
        <v>88</v>
      </c>
      <c r="I1652">
        <v>120</v>
      </c>
      <c r="J1652">
        <v>1590</v>
      </c>
      <c r="K1652">
        <v>2309163</v>
      </c>
      <c r="L1652" t="s">
        <v>234</v>
      </c>
      <c r="M1652" t="str">
        <f>"2201701"</f>
        <v>2201701</v>
      </c>
      <c r="N1652" t="str">
        <f>"22-0170-1"</f>
        <v>22-0170-1</v>
      </c>
      <c r="O1652" t="str">
        <f>""</f>
        <v/>
      </c>
      <c r="P1652" t="s">
        <v>664</v>
      </c>
      <c r="Q1652" t="str">
        <f>""</f>
        <v/>
      </c>
      <c r="R1652" t="s">
        <v>674</v>
      </c>
      <c r="S1652" t="s">
        <v>675</v>
      </c>
      <c r="T1652" s="1" t="s">
        <v>765</v>
      </c>
      <c r="U1652">
        <v>402</v>
      </c>
      <c r="V1652" t="s">
        <v>664</v>
      </c>
      <c r="W1652" t="s">
        <v>668</v>
      </c>
      <c r="X1652" t="s">
        <v>224</v>
      </c>
    </row>
    <row r="1653" spans="1:24">
      <c r="A1653">
        <v>13531</v>
      </c>
      <c r="B1653" t="s">
        <v>25</v>
      </c>
      <c r="C1653" t="str">
        <f t="shared" si="52"/>
        <v>INTEGRA Saloon</v>
      </c>
      <c r="D1653" t="str">
        <f t="shared" si="51"/>
        <v>1.6 i</v>
      </c>
      <c r="E1653" t="s">
        <v>26</v>
      </c>
      <c r="F1653">
        <v>198501</v>
      </c>
      <c r="G1653">
        <v>199012</v>
      </c>
      <c r="H1653">
        <v>88</v>
      </c>
      <c r="I1653">
        <v>120</v>
      </c>
      <c r="J1653">
        <v>1590</v>
      </c>
      <c r="K1653">
        <v>2309164</v>
      </c>
      <c r="L1653" t="s">
        <v>234</v>
      </c>
      <c r="M1653" t="str">
        <f>"2201710"</f>
        <v>2201710</v>
      </c>
      <c r="N1653" t="str">
        <f>"22-0171-0"</f>
        <v>22-0171-0</v>
      </c>
      <c r="O1653" t="str">
        <f>""</f>
        <v/>
      </c>
      <c r="P1653" t="s">
        <v>664</v>
      </c>
      <c r="Q1653" t="str">
        <f>""</f>
        <v/>
      </c>
      <c r="R1653" t="s">
        <v>677</v>
      </c>
      <c r="S1653" t="s">
        <v>678</v>
      </c>
      <c r="T1653" s="1" t="s">
        <v>766</v>
      </c>
      <c r="U1653">
        <v>402</v>
      </c>
      <c r="V1653" t="s">
        <v>664</v>
      </c>
      <c r="W1653" t="s">
        <v>668</v>
      </c>
      <c r="X1653" t="s">
        <v>224</v>
      </c>
    </row>
    <row r="1654" spans="1:24">
      <c r="A1654">
        <v>13531</v>
      </c>
      <c r="B1654" t="s">
        <v>25</v>
      </c>
      <c r="C1654" t="str">
        <f t="shared" si="52"/>
        <v>INTEGRA Saloon</v>
      </c>
      <c r="D1654" t="str">
        <f t="shared" si="51"/>
        <v>1.6 i</v>
      </c>
      <c r="E1654" t="s">
        <v>26</v>
      </c>
      <c r="F1654">
        <v>198501</v>
      </c>
      <c r="G1654">
        <v>199012</v>
      </c>
      <c r="H1654">
        <v>88</v>
      </c>
      <c r="I1654">
        <v>120</v>
      </c>
      <c r="J1654">
        <v>1590</v>
      </c>
      <c r="K1654">
        <v>2309289</v>
      </c>
      <c r="L1654" t="s">
        <v>234</v>
      </c>
      <c r="M1654" t="str">
        <f>"2202371"</f>
        <v>2202371</v>
      </c>
      <c r="N1654" t="str">
        <f>"22-0237-1"</f>
        <v>22-0237-1</v>
      </c>
      <c r="O1654" t="str">
        <f>""</f>
        <v/>
      </c>
      <c r="P1654" t="s">
        <v>664</v>
      </c>
      <c r="Q1654" t="str">
        <f>""</f>
        <v/>
      </c>
      <c r="R1654" t="s">
        <v>680</v>
      </c>
      <c r="S1654" t="s">
        <v>681</v>
      </c>
      <c r="T1654" s="1" t="s">
        <v>767</v>
      </c>
      <c r="U1654">
        <v>402</v>
      </c>
      <c r="V1654" t="s">
        <v>664</v>
      </c>
      <c r="W1654" t="s">
        <v>668</v>
      </c>
      <c r="X1654" t="s">
        <v>224</v>
      </c>
    </row>
    <row r="1655" spans="1:24">
      <c r="A1655">
        <v>13531</v>
      </c>
      <c r="B1655" t="s">
        <v>25</v>
      </c>
      <c r="C1655" t="str">
        <f t="shared" si="52"/>
        <v>INTEGRA Saloon</v>
      </c>
      <c r="D1655" t="str">
        <f t="shared" ref="D1655:D1718" si="53">"1.6 i"</f>
        <v>1.6 i</v>
      </c>
      <c r="E1655" t="s">
        <v>26</v>
      </c>
      <c r="F1655">
        <v>198501</v>
      </c>
      <c r="G1655">
        <v>199012</v>
      </c>
      <c r="H1655">
        <v>88</v>
      </c>
      <c r="I1655">
        <v>120</v>
      </c>
      <c r="J1655">
        <v>1590</v>
      </c>
      <c r="K1655">
        <v>2351958</v>
      </c>
      <c r="L1655" t="s">
        <v>364</v>
      </c>
      <c r="M1655" t="str">
        <f>"9457"</f>
        <v>9457</v>
      </c>
      <c r="N1655" t="str">
        <f>"9457"</f>
        <v>9457</v>
      </c>
      <c r="O1655" t="str">
        <f>"20099"</f>
        <v>20099</v>
      </c>
      <c r="P1655" t="s">
        <v>664</v>
      </c>
      <c r="Q1655" t="str">
        <f>"4031185142014"</f>
        <v>4031185142014</v>
      </c>
      <c r="R1655" t="s">
        <v>768</v>
      </c>
      <c r="T1655" s="1" t="s">
        <v>769</v>
      </c>
      <c r="U1655">
        <v>402</v>
      </c>
      <c r="V1655" t="s">
        <v>664</v>
      </c>
      <c r="W1655" t="s">
        <v>668</v>
      </c>
      <c r="X1655" t="s">
        <v>224</v>
      </c>
    </row>
    <row r="1656" spans="1:24">
      <c r="A1656">
        <v>13531</v>
      </c>
      <c r="B1656" t="s">
        <v>25</v>
      </c>
      <c r="C1656" t="str">
        <f t="shared" si="52"/>
        <v>INTEGRA Saloon</v>
      </c>
      <c r="D1656" t="str">
        <f t="shared" si="53"/>
        <v>1.6 i</v>
      </c>
      <c r="E1656" t="s">
        <v>26</v>
      </c>
      <c r="F1656">
        <v>198501</v>
      </c>
      <c r="G1656">
        <v>199012</v>
      </c>
      <c r="H1656">
        <v>88</v>
      </c>
      <c r="I1656">
        <v>120</v>
      </c>
      <c r="J1656">
        <v>1590</v>
      </c>
      <c r="K1656">
        <v>2352280</v>
      </c>
      <c r="L1656" t="s">
        <v>364</v>
      </c>
      <c r="M1656" t="str">
        <f>"9652"</f>
        <v>9652</v>
      </c>
      <c r="N1656" t="str">
        <f>"9652"</f>
        <v>9652</v>
      </c>
      <c r="O1656" t="str">
        <f>""</f>
        <v/>
      </c>
      <c r="P1656" t="s">
        <v>664</v>
      </c>
      <c r="Q1656" t="str">
        <f>"4031185140560"</f>
        <v>4031185140560</v>
      </c>
      <c r="R1656" t="s">
        <v>770</v>
      </c>
      <c r="T1656" s="1" t="s">
        <v>771</v>
      </c>
      <c r="U1656">
        <v>402</v>
      </c>
      <c r="V1656" t="s">
        <v>664</v>
      </c>
      <c r="W1656" t="s">
        <v>668</v>
      </c>
      <c r="X1656" t="s">
        <v>224</v>
      </c>
    </row>
    <row r="1657" spans="1:24">
      <c r="A1657">
        <v>13531</v>
      </c>
      <c r="B1657" t="s">
        <v>25</v>
      </c>
      <c r="C1657" t="str">
        <f t="shared" si="52"/>
        <v>INTEGRA Saloon</v>
      </c>
      <c r="D1657" t="str">
        <f t="shared" si="53"/>
        <v>1.6 i</v>
      </c>
      <c r="E1657" t="s">
        <v>26</v>
      </c>
      <c r="F1657">
        <v>198501</v>
      </c>
      <c r="G1657">
        <v>199012</v>
      </c>
      <c r="H1657">
        <v>88</v>
      </c>
      <c r="I1657">
        <v>120</v>
      </c>
      <c r="J1657">
        <v>1590</v>
      </c>
      <c r="K1657">
        <v>2352295</v>
      </c>
      <c r="L1657" t="s">
        <v>364</v>
      </c>
      <c r="M1657" t="str">
        <f>"9672"</f>
        <v>9672</v>
      </c>
      <c r="N1657" t="str">
        <f>"9672"</f>
        <v>9672</v>
      </c>
      <c r="O1657" t="str">
        <f>""</f>
        <v/>
      </c>
      <c r="P1657" t="s">
        <v>664</v>
      </c>
      <c r="Q1657" t="str">
        <f>"4031185142106"</f>
        <v>4031185142106</v>
      </c>
      <c r="R1657" t="s">
        <v>772</v>
      </c>
      <c r="T1657" s="1" t="s">
        <v>773</v>
      </c>
      <c r="U1657">
        <v>402</v>
      </c>
      <c r="V1657" t="s">
        <v>664</v>
      </c>
      <c r="W1657" t="s">
        <v>668</v>
      </c>
      <c r="X1657" t="s">
        <v>224</v>
      </c>
    </row>
    <row r="1658" spans="1:24">
      <c r="A1658">
        <v>13531</v>
      </c>
      <c r="B1658" t="s">
        <v>25</v>
      </c>
      <c r="C1658" t="str">
        <f t="shared" si="52"/>
        <v>INTEGRA Saloon</v>
      </c>
      <c r="D1658" t="str">
        <f t="shared" si="53"/>
        <v>1.6 i</v>
      </c>
      <c r="E1658" t="s">
        <v>26</v>
      </c>
      <c r="F1658">
        <v>198501</v>
      </c>
      <c r="G1658">
        <v>199012</v>
      </c>
      <c r="H1658">
        <v>88</v>
      </c>
      <c r="I1658">
        <v>120</v>
      </c>
      <c r="J1658">
        <v>1590</v>
      </c>
      <c r="K1658">
        <v>2545953</v>
      </c>
      <c r="L1658" t="s">
        <v>371</v>
      </c>
      <c r="M1658" t="str">
        <f>"222802"</f>
        <v>222802</v>
      </c>
      <c r="N1658" t="str">
        <f>"2228.02"</f>
        <v>2228.02</v>
      </c>
      <c r="O1658" t="str">
        <f>"PSX222802"</f>
        <v>PSX222802</v>
      </c>
      <c r="P1658" t="s">
        <v>664</v>
      </c>
      <c r="Q1658" t="str">
        <f>"8427975255747"</f>
        <v>8427975255747</v>
      </c>
      <c r="R1658" t="s">
        <v>774</v>
      </c>
      <c r="T1658" s="1" t="s">
        <v>775</v>
      </c>
      <c r="U1658">
        <v>402</v>
      </c>
      <c r="V1658" t="s">
        <v>664</v>
      </c>
      <c r="W1658" t="s">
        <v>668</v>
      </c>
      <c r="X1658" t="s">
        <v>224</v>
      </c>
    </row>
    <row r="1659" spans="1:24">
      <c r="A1659">
        <v>13531</v>
      </c>
      <c r="B1659" t="s">
        <v>25</v>
      </c>
      <c r="C1659" t="str">
        <f t="shared" si="52"/>
        <v>INTEGRA Saloon</v>
      </c>
      <c r="D1659" t="str">
        <f t="shared" si="53"/>
        <v>1.6 i</v>
      </c>
      <c r="E1659" t="s">
        <v>26</v>
      </c>
      <c r="F1659">
        <v>198501</v>
      </c>
      <c r="G1659">
        <v>199012</v>
      </c>
      <c r="H1659">
        <v>88</v>
      </c>
      <c r="I1659">
        <v>120</v>
      </c>
      <c r="J1659">
        <v>1590</v>
      </c>
      <c r="K1659">
        <v>2545961</v>
      </c>
      <c r="L1659" t="s">
        <v>371</v>
      </c>
      <c r="M1659" t="str">
        <f>"223320"</f>
        <v>223320</v>
      </c>
      <c r="N1659" t="str">
        <f>"2233.20"</f>
        <v>2233.20</v>
      </c>
      <c r="O1659" t="str">
        <f>"PSX223320"</f>
        <v>PSX223320</v>
      </c>
      <c r="P1659" t="s">
        <v>664</v>
      </c>
      <c r="Q1659" t="str">
        <f>"8427975255839"</f>
        <v>8427975255839</v>
      </c>
      <c r="R1659" s="1" t="s">
        <v>776</v>
      </c>
      <c r="T1659" s="1" t="s">
        <v>777</v>
      </c>
      <c r="U1659">
        <v>402</v>
      </c>
      <c r="V1659" t="s">
        <v>664</v>
      </c>
      <c r="W1659" t="s">
        <v>668</v>
      </c>
      <c r="X1659" t="s">
        <v>224</v>
      </c>
    </row>
    <row r="1660" spans="1:24">
      <c r="A1660">
        <v>13531</v>
      </c>
      <c r="B1660" t="s">
        <v>25</v>
      </c>
      <c r="C1660" t="str">
        <f t="shared" si="52"/>
        <v>INTEGRA Saloon</v>
      </c>
      <c r="D1660" t="str">
        <f t="shared" si="53"/>
        <v>1.6 i</v>
      </c>
      <c r="E1660" t="s">
        <v>26</v>
      </c>
      <c r="F1660">
        <v>198501</v>
      </c>
      <c r="G1660">
        <v>199012</v>
      </c>
      <c r="H1660">
        <v>88</v>
      </c>
      <c r="I1660">
        <v>120</v>
      </c>
      <c r="J1660">
        <v>1590</v>
      </c>
      <c r="K1660">
        <v>2546562</v>
      </c>
      <c r="L1660" t="s">
        <v>371</v>
      </c>
      <c r="M1660" t="str">
        <f>"264610"</f>
        <v>264610</v>
      </c>
      <c r="N1660" t="str">
        <f>"2646.10"</f>
        <v>2646.10</v>
      </c>
      <c r="O1660" t="str">
        <f>"PSX264610"</f>
        <v>PSX264610</v>
      </c>
      <c r="P1660" t="s">
        <v>664</v>
      </c>
      <c r="Q1660" t="str">
        <f>"8427975262202"</f>
        <v>8427975262202</v>
      </c>
      <c r="R1660" s="1" t="s">
        <v>778</v>
      </c>
      <c r="T1660" s="1" t="s">
        <v>779</v>
      </c>
      <c r="U1660">
        <v>402</v>
      </c>
      <c r="V1660" t="s">
        <v>664</v>
      </c>
      <c r="W1660" t="s">
        <v>668</v>
      </c>
      <c r="X1660" t="s">
        <v>224</v>
      </c>
    </row>
    <row r="1661" spans="1:24">
      <c r="A1661">
        <v>13531</v>
      </c>
      <c r="B1661" t="s">
        <v>25</v>
      </c>
      <c r="C1661" t="str">
        <f t="shared" si="52"/>
        <v>INTEGRA Saloon</v>
      </c>
      <c r="D1661" t="str">
        <f t="shared" si="53"/>
        <v>1.6 i</v>
      </c>
      <c r="E1661" t="s">
        <v>26</v>
      </c>
      <c r="F1661">
        <v>198501</v>
      </c>
      <c r="G1661">
        <v>199012</v>
      </c>
      <c r="H1661">
        <v>88</v>
      </c>
      <c r="I1661">
        <v>120</v>
      </c>
      <c r="J1661">
        <v>1590</v>
      </c>
      <c r="K1661">
        <v>2550450</v>
      </c>
      <c r="L1661" t="s">
        <v>374</v>
      </c>
      <c r="M1661" t="str">
        <f>"022802"</f>
        <v>022802</v>
      </c>
      <c r="N1661" t="str">
        <f>"0228.02"</f>
        <v>0228.02</v>
      </c>
      <c r="O1661" t="str">
        <f>"PCA022802"</f>
        <v>PCA022802</v>
      </c>
      <c r="P1661" t="s">
        <v>664</v>
      </c>
      <c r="Q1661" t="str">
        <f>"8427975005663"</f>
        <v>8427975005663</v>
      </c>
      <c r="R1661" t="s">
        <v>774</v>
      </c>
      <c r="T1661" s="1" t="s">
        <v>780</v>
      </c>
      <c r="U1661">
        <v>402</v>
      </c>
      <c r="V1661" t="s">
        <v>664</v>
      </c>
      <c r="W1661" t="s">
        <v>668</v>
      </c>
      <c r="X1661" t="s">
        <v>224</v>
      </c>
    </row>
    <row r="1662" spans="1:24">
      <c r="A1662">
        <v>13531</v>
      </c>
      <c r="B1662" t="s">
        <v>25</v>
      </c>
      <c r="C1662" t="str">
        <f t="shared" si="52"/>
        <v>INTEGRA Saloon</v>
      </c>
      <c r="D1662" t="str">
        <f t="shared" si="53"/>
        <v>1.6 i</v>
      </c>
      <c r="E1662" t="s">
        <v>26</v>
      </c>
      <c r="F1662">
        <v>198501</v>
      </c>
      <c r="G1662">
        <v>199012</v>
      </c>
      <c r="H1662">
        <v>88</v>
      </c>
      <c r="I1662">
        <v>120</v>
      </c>
      <c r="J1662">
        <v>1590</v>
      </c>
      <c r="K1662">
        <v>2550458</v>
      </c>
      <c r="L1662" t="s">
        <v>374</v>
      </c>
      <c r="M1662" t="str">
        <f>"023320"</f>
        <v>023320</v>
      </c>
      <c r="N1662" t="str">
        <f>"0233.20"</f>
        <v>0233.20</v>
      </c>
      <c r="O1662" t="str">
        <f>"PCA023320"</f>
        <v>PCA023320</v>
      </c>
      <c r="P1662" t="s">
        <v>664</v>
      </c>
      <c r="Q1662" t="str">
        <f>"8427975005755"</f>
        <v>8427975005755</v>
      </c>
      <c r="R1662" s="1" t="s">
        <v>776</v>
      </c>
      <c r="T1662" s="1" t="s">
        <v>781</v>
      </c>
      <c r="U1662">
        <v>402</v>
      </c>
      <c r="V1662" t="s">
        <v>664</v>
      </c>
      <c r="W1662" t="s">
        <v>668</v>
      </c>
      <c r="X1662" t="s">
        <v>224</v>
      </c>
    </row>
    <row r="1663" spans="1:24">
      <c r="A1663">
        <v>13531</v>
      </c>
      <c r="B1663" t="s">
        <v>25</v>
      </c>
      <c r="C1663" t="str">
        <f t="shared" si="52"/>
        <v>INTEGRA Saloon</v>
      </c>
      <c r="D1663" t="str">
        <f t="shared" si="53"/>
        <v>1.6 i</v>
      </c>
      <c r="E1663" t="s">
        <v>26</v>
      </c>
      <c r="F1663">
        <v>198501</v>
      </c>
      <c r="G1663">
        <v>199012</v>
      </c>
      <c r="H1663">
        <v>88</v>
      </c>
      <c r="I1663">
        <v>120</v>
      </c>
      <c r="J1663">
        <v>1590</v>
      </c>
      <c r="K1663">
        <v>2551060</v>
      </c>
      <c r="L1663" t="s">
        <v>374</v>
      </c>
      <c r="M1663" t="str">
        <f>"064610"</f>
        <v>064610</v>
      </c>
      <c r="N1663" t="str">
        <f>"0646.10"</f>
        <v>0646.10</v>
      </c>
      <c r="O1663" t="str">
        <f>"PCA064610"</f>
        <v>PCA064610</v>
      </c>
      <c r="P1663" t="s">
        <v>664</v>
      </c>
      <c r="Q1663" t="str">
        <f>"8427975012210"</f>
        <v>8427975012210</v>
      </c>
      <c r="R1663" t="s">
        <v>782</v>
      </c>
      <c r="T1663" s="1" t="s">
        <v>783</v>
      </c>
      <c r="U1663">
        <v>402</v>
      </c>
      <c r="V1663" t="s">
        <v>664</v>
      </c>
      <c r="W1663" t="s">
        <v>668</v>
      </c>
      <c r="X1663" t="s">
        <v>224</v>
      </c>
    </row>
    <row r="1664" spans="1:24">
      <c r="A1664">
        <v>13531</v>
      </c>
      <c r="B1664" t="s">
        <v>25</v>
      </c>
      <c r="C1664" t="str">
        <f t="shared" si="52"/>
        <v>INTEGRA Saloon</v>
      </c>
      <c r="D1664" t="str">
        <f t="shared" si="53"/>
        <v>1.6 i</v>
      </c>
      <c r="E1664" t="s">
        <v>26</v>
      </c>
      <c r="F1664">
        <v>198501</v>
      </c>
      <c r="G1664">
        <v>199012</v>
      </c>
      <c r="H1664">
        <v>88</v>
      </c>
      <c r="I1664">
        <v>120</v>
      </c>
      <c r="J1664">
        <v>1590</v>
      </c>
      <c r="K1664">
        <v>2587918</v>
      </c>
      <c r="L1664" t="s">
        <v>784</v>
      </c>
      <c r="M1664" t="str">
        <f>"180750"</f>
        <v>180750</v>
      </c>
      <c r="N1664" t="str">
        <f>"180750"</f>
        <v>180750</v>
      </c>
      <c r="O1664" t="str">
        <f>"20099"</f>
        <v>20099</v>
      </c>
      <c r="P1664" t="s">
        <v>664</v>
      </c>
      <c r="Q1664" t="str">
        <f>"8424073010063"</f>
        <v>8424073010063</v>
      </c>
      <c r="R1664" t="s">
        <v>785</v>
      </c>
      <c r="S1664" t="s">
        <v>726</v>
      </c>
      <c r="T1664" s="1" t="s">
        <v>786</v>
      </c>
      <c r="U1664">
        <v>402</v>
      </c>
      <c r="V1664" t="s">
        <v>664</v>
      </c>
      <c r="W1664" t="s">
        <v>668</v>
      </c>
      <c r="X1664" t="s">
        <v>224</v>
      </c>
    </row>
    <row r="1665" spans="1:24">
      <c r="A1665">
        <v>13531</v>
      </c>
      <c r="B1665" t="s">
        <v>25</v>
      </c>
      <c r="C1665" t="str">
        <f t="shared" si="52"/>
        <v>INTEGRA Saloon</v>
      </c>
      <c r="D1665" t="str">
        <f t="shared" si="53"/>
        <v>1.6 i</v>
      </c>
      <c r="E1665" t="s">
        <v>26</v>
      </c>
      <c r="F1665">
        <v>198501</v>
      </c>
      <c r="G1665">
        <v>199012</v>
      </c>
      <c r="H1665">
        <v>88</v>
      </c>
      <c r="I1665">
        <v>120</v>
      </c>
      <c r="J1665">
        <v>1590</v>
      </c>
      <c r="K1665">
        <v>2587922</v>
      </c>
      <c r="L1665" t="s">
        <v>784</v>
      </c>
      <c r="M1665" t="str">
        <f>"180753"</f>
        <v>180753</v>
      </c>
      <c r="N1665" t="str">
        <f>"180753"</f>
        <v>180753</v>
      </c>
      <c r="O1665" t="str">
        <f>"21312"</f>
        <v>21312</v>
      </c>
      <c r="P1665" t="s">
        <v>664</v>
      </c>
      <c r="Q1665" t="str">
        <f>"8424073010094"</f>
        <v>8424073010094</v>
      </c>
      <c r="R1665" s="1" t="s">
        <v>787</v>
      </c>
      <c r="S1665" t="s">
        <v>732</v>
      </c>
      <c r="T1665" s="1" t="s">
        <v>788</v>
      </c>
      <c r="U1665">
        <v>402</v>
      </c>
      <c r="V1665" t="s">
        <v>664</v>
      </c>
      <c r="W1665" t="s">
        <v>668</v>
      </c>
      <c r="X1665" t="s">
        <v>224</v>
      </c>
    </row>
    <row r="1666" spans="1:24">
      <c r="A1666">
        <v>13531</v>
      </c>
      <c r="B1666" t="s">
        <v>25</v>
      </c>
      <c r="C1666" t="str">
        <f t="shared" ref="C1666:C1729" si="54">"INTEGRA Saloon"</f>
        <v>INTEGRA Saloon</v>
      </c>
      <c r="D1666" t="str">
        <f t="shared" si="53"/>
        <v>1.6 i</v>
      </c>
      <c r="E1666" t="s">
        <v>26</v>
      </c>
      <c r="F1666">
        <v>198501</v>
      </c>
      <c r="G1666">
        <v>199012</v>
      </c>
      <c r="H1666">
        <v>88</v>
      </c>
      <c r="I1666">
        <v>120</v>
      </c>
      <c r="J1666">
        <v>1590</v>
      </c>
      <c r="K1666">
        <v>2587923</v>
      </c>
      <c r="L1666" t="s">
        <v>784</v>
      </c>
      <c r="M1666" t="str">
        <f>"180753701"</f>
        <v>180753701</v>
      </c>
      <c r="N1666" t="str">
        <f>"180753-701"</f>
        <v>180753-701</v>
      </c>
      <c r="O1666" t="str">
        <f>"21312"</f>
        <v>21312</v>
      </c>
      <c r="P1666" t="s">
        <v>664</v>
      </c>
      <c r="Q1666" t="str">
        <f>"8424073085689"</f>
        <v>8424073085689</v>
      </c>
      <c r="R1666" s="1" t="s">
        <v>789</v>
      </c>
      <c r="S1666" t="s">
        <v>732</v>
      </c>
      <c r="T1666" s="1" t="s">
        <v>790</v>
      </c>
      <c r="U1666">
        <v>402</v>
      </c>
      <c r="V1666" t="s">
        <v>664</v>
      </c>
      <c r="W1666" t="s">
        <v>668</v>
      </c>
      <c r="X1666" t="s">
        <v>224</v>
      </c>
    </row>
    <row r="1667" spans="1:24">
      <c r="A1667">
        <v>13531</v>
      </c>
      <c r="B1667" t="s">
        <v>25</v>
      </c>
      <c r="C1667" t="str">
        <f t="shared" si="54"/>
        <v>INTEGRA Saloon</v>
      </c>
      <c r="D1667" t="str">
        <f t="shared" si="53"/>
        <v>1.6 i</v>
      </c>
      <c r="E1667" t="s">
        <v>26</v>
      </c>
      <c r="F1667">
        <v>198501</v>
      </c>
      <c r="G1667">
        <v>199012</v>
      </c>
      <c r="H1667">
        <v>88</v>
      </c>
      <c r="I1667">
        <v>120</v>
      </c>
      <c r="J1667">
        <v>1590</v>
      </c>
      <c r="K1667">
        <v>2588074</v>
      </c>
      <c r="L1667" t="s">
        <v>784</v>
      </c>
      <c r="M1667" t="str">
        <f>"180962"</f>
        <v>180962</v>
      </c>
      <c r="N1667" t="str">
        <f>"180962"</f>
        <v>180962</v>
      </c>
      <c r="O1667" t="str">
        <f>"21446"</f>
        <v>21446</v>
      </c>
      <c r="P1667" t="s">
        <v>664</v>
      </c>
      <c r="Q1667" t="str">
        <f>"8424073015679"</f>
        <v>8424073015679</v>
      </c>
      <c r="R1667" t="s">
        <v>791</v>
      </c>
      <c r="S1667" t="s">
        <v>729</v>
      </c>
      <c r="T1667" s="1" t="s">
        <v>792</v>
      </c>
      <c r="U1667">
        <v>402</v>
      </c>
      <c r="V1667" t="s">
        <v>664</v>
      </c>
      <c r="W1667" t="s">
        <v>668</v>
      </c>
      <c r="X1667" t="s">
        <v>224</v>
      </c>
    </row>
    <row r="1668" spans="1:24">
      <c r="A1668">
        <v>13531</v>
      </c>
      <c r="B1668" t="s">
        <v>25</v>
      </c>
      <c r="C1668" t="str">
        <f t="shared" si="54"/>
        <v>INTEGRA Saloon</v>
      </c>
      <c r="D1668" t="str">
        <f t="shared" si="53"/>
        <v>1.6 i</v>
      </c>
      <c r="E1668" t="s">
        <v>26</v>
      </c>
      <c r="F1668">
        <v>198501</v>
      </c>
      <c r="G1668">
        <v>199012</v>
      </c>
      <c r="H1668">
        <v>88</v>
      </c>
      <c r="I1668">
        <v>120</v>
      </c>
      <c r="J1668">
        <v>1590</v>
      </c>
      <c r="K1668">
        <v>2607185</v>
      </c>
      <c r="L1668" t="s">
        <v>377</v>
      </c>
      <c r="M1668" t="str">
        <f>"GDB3034"</f>
        <v>GDB3034</v>
      </c>
      <c r="N1668" t="str">
        <f>"GDB3034"</f>
        <v>GDB3034</v>
      </c>
      <c r="O1668" t="str">
        <f>"21446"</f>
        <v>21446</v>
      </c>
      <c r="P1668" t="s">
        <v>664</v>
      </c>
      <c r="Q1668" t="str">
        <f>"3322937118359"</f>
        <v>3322937118359</v>
      </c>
      <c r="R1668" t="s">
        <v>793</v>
      </c>
      <c r="S1668" t="s">
        <v>678</v>
      </c>
      <c r="T1668" s="1" t="s">
        <v>794</v>
      </c>
      <c r="U1668">
        <v>402</v>
      </c>
      <c r="V1668" t="s">
        <v>664</v>
      </c>
      <c r="W1668" t="s">
        <v>668</v>
      </c>
      <c r="X1668" t="s">
        <v>224</v>
      </c>
    </row>
    <row r="1669" spans="1:24">
      <c r="A1669">
        <v>13531</v>
      </c>
      <c r="B1669" t="s">
        <v>25</v>
      </c>
      <c r="C1669" t="str">
        <f t="shared" si="54"/>
        <v>INTEGRA Saloon</v>
      </c>
      <c r="D1669" t="str">
        <f t="shared" si="53"/>
        <v>1.6 i</v>
      </c>
      <c r="E1669" t="s">
        <v>26</v>
      </c>
      <c r="F1669">
        <v>198501</v>
      </c>
      <c r="G1669">
        <v>199012</v>
      </c>
      <c r="H1669">
        <v>88</v>
      </c>
      <c r="I1669">
        <v>120</v>
      </c>
      <c r="J1669">
        <v>1590</v>
      </c>
      <c r="K1669">
        <v>2607917</v>
      </c>
      <c r="L1669" t="s">
        <v>377</v>
      </c>
      <c r="M1669" t="str">
        <f>"GDB499"</f>
        <v>GDB499</v>
      </c>
      <c r="N1669" t="str">
        <f>"GDB499"</f>
        <v>GDB499</v>
      </c>
      <c r="O1669" t="str">
        <f>"21312"</f>
        <v>21312</v>
      </c>
      <c r="P1669" t="s">
        <v>664</v>
      </c>
      <c r="Q1669" t="str">
        <f>"3322936404996"</f>
        <v>3322936404996</v>
      </c>
      <c r="R1669" t="s">
        <v>795</v>
      </c>
      <c r="S1669" t="s">
        <v>675</v>
      </c>
      <c r="T1669" s="1" t="s">
        <v>796</v>
      </c>
      <c r="U1669">
        <v>402</v>
      </c>
      <c r="V1669" t="s">
        <v>664</v>
      </c>
      <c r="W1669" t="s">
        <v>668</v>
      </c>
      <c r="X1669" t="s">
        <v>224</v>
      </c>
    </row>
    <row r="1670" spans="1:24">
      <c r="A1670">
        <v>13531</v>
      </c>
      <c r="B1670" t="s">
        <v>25</v>
      </c>
      <c r="C1670" t="str">
        <f t="shared" si="54"/>
        <v>INTEGRA Saloon</v>
      </c>
      <c r="D1670" t="str">
        <f t="shared" si="53"/>
        <v>1.6 i</v>
      </c>
      <c r="E1670" t="s">
        <v>26</v>
      </c>
      <c r="F1670">
        <v>198501</v>
      </c>
      <c r="G1670">
        <v>199012</v>
      </c>
      <c r="H1670">
        <v>88</v>
      </c>
      <c r="I1670">
        <v>120</v>
      </c>
      <c r="J1670">
        <v>1590</v>
      </c>
      <c r="K1670">
        <v>2608633</v>
      </c>
      <c r="L1670" t="s">
        <v>377</v>
      </c>
      <c r="M1670" t="str">
        <f>"GDB925"</f>
        <v>GDB925</v>
      </c>
      <c r="N1670" t="str">
        <f>"GDB925"</f>
        <v>GDB925</v>
      </c>
      <c r="O1670" t="str">
        <f>"20099"</f>
        <v>20099</v>
      </c>
      <c r="P1670" t="s">
        <v>664</v>
      </c>
      <c r="Q1670" t="str">
        <f>"3322936409250"</f>
        <v>3322936409250</v>
      </c>
      <c r="R1670" t="s">
        <v>797</v>
      </c>
      <c r="S1670" t="s">
        <v>316</v>
      </c>
      <c r="T1670" s="1" t="s">
        <v>798</v>
      </c>
      <c r="U1670">
        <v>402</v>
      </c>
      <c r="V1670" t="s">
        <v>664</v>
      </c>
      <c r="W1670" t="s">
        <v>668</v>
      </c>
      <c r="X1670" t="s">
        <v>224</v>
      </c>
    </row>
    <row r="1671" spans="1:24">
      <c r="A1671">
        <v>13531</v>
      </c>
      <c r="B1671" t="s">
        <v>25</v>
      </c>
      <c r="C1671" t="str">
        <f t="shared" si="54"/>
        <v>INTEGRA Saloon</v>
      </c>
      <c r="D1671" t="str">
        <f t="shared" si="53"/>
        <v>1.6 i</v>
      </c>
      <c r="E1671" t="s">
        <v>26</v>
      </c>
      <c r="F1671">
        <v>198501</v>
      </c>
      <c r="G1671">
        <v>199012</v>
      </c>
      <c r="H1671">
        <v>88</v>
      </c>
      <c r="I1671">
        <v>120</v>
      </c>
      <c r="J1671">
        <v>1590</v>
      </c>
      <c r="K1671">
        <v>2655365</v>
      </c>
      <c r="L1671" t="s">
        <v>799</v>
      </c>
      <c r="M1671" t="str">
        <f>"ASN200"</f>
        <v>ASN200</v>
      </c>
      <c r="N1671" t="str">
        <f>"ASN-200"</f>
        <v>ASN-200</v>
      </c>
      <c r="O1671" t="str">
        <f>""</f>
        <v/>
      </c>
      <c r="P1671" t="s">
        <v>664</v>
      </c>
      <c r="Q1671" t="str">
        <f>"5411450605984"</f>
        <v>5411450605984</v>
      </c>
      <c r="R1671" t="s">
        <v>800</v>
      </c>
      <c r="S1671" t="s">
        <v>678</v>
      </c>
      <c r="T1671" s="1" t="s">
        <v>801</v>
      </c>
      <c r="U1671">
        <v>402</v>
      </c>
      <c r="V1671" t="s">
        <v>664</v>
      </c>
      <c r="W1671" t="s">
        <v>668</v>
      </c>
      <c r="X1671" t="s">
        <v>224</v>
      </c>
    </row>
    <row r="1672" spans="1:24">
      <c r="A1672">
        <v>13531</v>
      </c>
      <c r="B1672" t="s">
        <v>25</v>
      </c>
      <c r="C1672" t="str">
        <f t="shared" si="54"/>
        <v>INTEGRA Saloon</v>
      </c>
      <c r="D1672" t="str">
        <f t="shared" si="53"/>
        <v>1.6 i</v>
      </c>
      <c r="E1672" t="s">
        <v>26</v>
      </c>
      <c r="F1672">
        <v>198501</v>
      </c>
      <c r="G1672">
        <v>199012</v>
      </c>
      <c r="H1672">
        <v>88</v>
      </c>
      <c r="I1672">
        <v>120</v>
      </c>
      <c r="J1672">
        <v>1590</v>
      </c>
      <c r="K1672">
        <v>2656058</v>
      </c>
      <c r="L1672" t="s">
        <v>799</v>
      </c>
      <c r="M1672" t="str">
        <f>"C1N013"</f>
        <v>C1N013</v>
      </c>
      <c r="N1672" t="str">
        <f>"C1N013"</f>
        <v>C1N013</v>
      </c>
      <c r="O1672" t="str">
        <f>""</f>
        <v/>
      </c>
      <c r="P1672" t="s">
        <v>664</v>
      </c>
      <c r="Q1672" t="str">
        <f>""</f>
        <v/>
      </c>
      <c r="R1672" t="s">
        <v>802</v>
      </c>
      <c r="S1672" t="s">
        <v>678</v>
      </c>
      <c r="T1672" s="1" t="s">
        <v>803</v>
      </c>
      <c r="U1672">
        <v>402</v>
      </c>
      <c r="V1672" t="s">
        <v>664</v>
      </c>
      <c r="W1672" t="s">
        <v>668</v>
      </c>
      <c r="X1672" t="s">
        <v>224</v>
      </c>
    </row>
    <row r="1673" spans="1:24">
      <c r="A1673">
        <v>13531</v>
      </c>
      <c r="B1673" t="s">
        <v>25</v>
      </c>
      <c r="C1673" t="str">
        <f t="shared" si="54"/>
        <v>INTEGRA Saloon</v>
      </c>
      <c r="D1673" t="str">
        <f t="shared" si="53"/>
        <v>1.6 i</v>
      </c>
      <c r="E1673" t="s">
        <v>26</v>
      </c>
      <c r="F1673">
        <v>198501</v>
      </c>
      <c r="G1673">
        <v>199012</v>
      </c>
      <c r="H1673">
        <v>88</v>
      </c>
      <c r="I1673">
        <v>120</v>
      </c>
      <c r="J1673">
        <v>1590</v>
      </c>
      <c r="K1673">
        <v>2716064</v>
      </c>
      <c r="L1673" t="s">
        <v>804</v>
      </c>
      <c r="M1673" t="str">
        <f>"JQ101944"</f>
        <v>JQ101944</v>
      </c>
      <c r="N1673" t="str">
        <f>"JQ101944"</f>
        <v>JQ101944</v>
      </c>
      <c r="O1673" t="str">
        <f>""</f>
        <v/>
      </c>
      <c r="P1673" t="s">
        <v>664</v>
      </c>
      <c r="Q1673" t="str">
        <f>"5908242626826"</f>
        <v>5908242626826</v>
      </c>
      <c r="R1673" t="s">
        <v>805</v>
      </c>
      <c r="T1673" s="1" t="s">
        <v>806</v>
      </c>
      <c r="U1673">
        <v>402</v>
      </c>
      <c r="V1673" t="s">
        <v>664</v>
      </c>
      <c r="W1673" t="s">
        <v>668</v>
      </c>
      <c r="X1673" t="s">
        <v>224</v>
      </c>
    </row>
    <row r="1674" spans="1:24">
      <c r="A1674">
        <v>13531</v>
      </c>
      <c r="B1674" t="s">
        <v>25</v>
      </c>
      <c r="C1674" t="str">
        <f t="shared" si="54"/>
        <v>INTEGRA Saloon</v>
      </c>
      <c r="D1674" t="str">
        <f t="shared" si="53"/>
        <v>1.6 i</v>
      </c>
      <c r="E1674" t="s">
        <v>26</v>
      </c>
      <c r="F1674">
        <v>198501</v>
      </c>
      <c r="G1674">
        <v>199012</v>
      </c>
      <c r="H1674">
        <v>88</v>
      </c>
      <c r="I1674">
        <v>120</v>
      </c>
      <c r="J1674">
        <v>1590</v>
      </c>
      <c r="K1674">
        <v>2718639</v>
      </c>
      <c r="L1674" t="s">
        <v>149</v>
      </c>
      <c r="M1674" t="str">
        <f>"B110662"</f>
        <v>B110662</v>
      </c>
      <c r="N1674" t="str">
        <f>"B110662"</f>
        <v>B110662</v>
      </c>
      <c r="O1674" t="str">
        <f>""</f>
        <v/>
      </c>
      <c r="P1674" t="s">
        <v>664</v>
      </c>
      <c r="Q1674" t="str">
        <f>"5901225711090"</f>
        <v>5901225711090</v>
      </c>
      <c r="R1674" t="s">
        <v>807</v>
      </c>
      <c r="T1674" s="1" t="s">
        <v>1403</v>
      </c>
      <c r="U1674">
        <v>402</v>
      </c>
      <c r="V1674" t="s">
        <v>664</v>
      </c>
      <c r="W1674" t="s">
        <v>668</v>
      </c>
      <c r="X1674" t="s">
        <v>224</v>
      </c>
    </row>
    <row r="1675" spans="1:24">
      <c r="A1675">
        <v>13531</v>
      </c>
      <c r="B1675" t="s">
        <v>25</v>
      </c>
      <c r="C1675" t="str">
        <f t="shared" si="54"/>
        <v>INTEGRA Saloon</v>
      </c>
      <c r="D1675" t="str">
        <f t="shared" si="53"/>
        <v>1.6 i</v>
      </c>
      <c r="E1675" t="s">
        <v>26</v>
      </c>
      <c r="F1675">
        <v>198501</v>
      </c>
      <c r="G1675">
        <v>199012</v>
      </c>
      <c r="H1675">
        <v>88</v>
      </c>
      <c r="I1675">
        <v>120</v>
      </c>
      <c r="J1675">
        <v>1590</v>
      </c>
      <c r="K1675">
        <v>2784920</v>
      </c>
      <c r="L1675" t="s">
        <v>236</v>
      </c>
      <c r="M1675" t="str">
        <f>"05P073"</f>
        <v>05P073</v>
      </c>
      <c r="N1675" t="str">
        <f>"05P073"</f>
        <v>05P073</v>
      </c>
      <c r="O1675" t="str">
        <f>"20099"</f>
        <v>20099</v>
      </c>
      <c r="P1675" t="s">
        <v>664</v>
      </c>
      <c r="Q1675" t="str">
        <f>"8032532061053"</f>
        <v>8032532061053</v>
      </c>
      <c r="R1675" t="s">
        <v>809</v>
      </c>
      <c r="S1675" t="s">
        <v>810</v>
      </c>
      <c r="T1675" s="1" t="s">
        <v>811</v>
      </c>
      <c r="U1675">
        <v>402</v>
      </c>
      <c r="V1675" t="s">
        <v>664</v>
      </c>
      <c r="W1675" t="s">
        <v>668</v>
      </c>
      <c r="X1675" t="s">
        <v>224</v>
      </c>
    </row>
    <row r="1676" spans="1:24">
      <c r="A1676">
        <v>13531</v>
      </c>
      <c r="B1676" t="s">
        <v>25</v>
      </c>
      <c r="C1676" t="str">
        <f t="shared" si="54"/>
        <v>INTEGRA Saloon</v>
      </c>
      <c r="D1676" t="str">
        <f t="shared" si="53"/>
        <v>1.6 i</v>
      </c>
      <c r="E1676" t="s">
        <v>26</v>
      </c>
      <c r="F1676">
        <v>198501</v>
      </c>
      <c r="G1676">
        <v>199012</v>
      </c>
      <c r="H1676">
        <v>88</v>
      </c>
      <c r="I1676">
        <v>120</v>
      </c>
      <c r="J1676">
        <v>1590</v>
      </c>
      <c r="K1676">
        <v>2786042</v>
      </c>
      <c r="L1676" t="s">
        <v>236</v>
      </c>
      <c r="M1676" t="str">
        <f>"05P506"</f>
        <v>05P506</v>
      </c>
      <c r="N1676" t="str">
        <f>"05P506"</f>
        <v>05P506</v>
      </c>
      <c r="O1676" t="str">
        <f>"21312"</f>
        <v>21312</v>
      </c>
      <c r="P1676" t="s">
        <v>664</v>
      </c>
      <c r="Q1676" t="str">
        <f>"8032532062470"</f>
        <v>8032532062470</v>
      </c>
      <c r="R1676" t="s">
        <v>812</v>
      </c>
      <c r="S1676" t="s">
        <v>813</v>
      </c>
      <c r="T1676" s="1" t="s">
        <v>814</v>
      </c>
      <c r="U1676">
        <v>402</v>
      </c>
      <c r="V1676" t="s">
        <v>664</v>
      </c>
      <c r="W1676" t="s">
        <v>668</v>
      </c>
      <c r="X1676" t="s">
        <v>224</v>
      </c>
    </row>
    <row r="1677" spans="1:24">
      <c r="A1677">
        <v>13531</v>
      </c>
      <c r="B1677" t="s">
        <v>25</v>
      </c>
      <c r="C1677" t="str">
        <f t="shared" si="54"/>
        <v>INTEGRA Saloon</v>
      </c>
      <c r="D1677" t="str">
        <f t="shared" si="53"/>
        <v>1.6 i</v>
      </c>
      <c r="E1677" t="s">
        <v>26</v>
      </c>
      <c r="F1677">
        <v>198501</v>
      </c>
      <c r="G1677">
        <v>199012</v>
      </c>
      <c r="H1677">
        <v>88</v>
      </c>
      <c r="I1677">
        <v>120</v>
      </c>
      <c r="J1677">
        <v>1590</v>
      </c>
      <c r="K1677">
        <v>2786081</v>
      </c>
      <c r="L1677" t="s">
        <v>236</v>
      </c>
      <c r="M1677" t="str">
        <f>"05P555"</f>
        <v>05P555</v>
      </c>
      <c r="N1677" t="str">
        <f>"05P555"</f>
        <v>05P555</v>
      </c>
      <c r="O1677" t="str">
        <f>"21448"</f>
        <v>21448</v>
      </c>
      <c r="P1677" t="s">
        <v>664</v>
      </c>
      <c r="Q1677" t="str">
        <f>"8032532058879"</f>
        <v>8032532058879</v>
      </c>
      <c r="R1677" t="s">
        <v>815</v>
      </c>
      <c r="S1677" t="s">
        <v>816</v>
      </c>
      <c r="T1677" s="1" t="s">
        <v>817</v>
      </c>
      <c r="U1677">
        <v>402</v>
      </c>
      <c r="V1677" t="s">
        <v>664</v>
      </c>
      <c r="W1677" t="s">
        <v>668</v>
      </c>
      <c r="X1677" t="s">
        <v>224</v>
      </c>
    </row>
    <row r="1678" spans="1:24">
      <c r="A1678">
        <v>13531</v>
      </c>
      <c r="B1678" t="s">
        <v>25</v>
      </c>
      <c r="C1678" t="str">
        <f t="shared" si="54"/>
        <v>INTEGRA Saloon</v>
      </c>
      <c r="D1678" t="str">
        <f t="shared" si="53"/>
        <v>1.6 i</v>
      </c>
      <c r="E1678" t="s">
        <v>26</v>
      </c>
      <c r="F1678">
        <v>198501</v>
      </c>
      <c r="G1678">
        <v>199012</v>
      </c>
      <c r="H1678">
        <v>88</v>
      </c>
      <c r="I1678">
        <v>120</v>
      </c>
      <c r="J1678">
        <v>1590</v>
      </c>
      <c r="K1678">
        <v>2807312</v>
      </c>
      <c r="L1678" t="s">
        <v>239</v>
      </c>
      <c r="M1678" t="str">
        <f>"1731"</f>
        <v>1731</v>
      </c>
      <c r="N1678" t="str">
        <f>"173.1"</f>
        <v>173.1</v>
      </c>
      <c r="O1678" t="str">
        <f>"21312"</f>
        <v>21312</v>
      </c>
      <c r="P1678" t="s">
        <v>664</v>
      </c>
      <c r="Q1678" t="str">
        <f>""</f>
        <v/>
      </c>
      <c r="R1678" t="s">
        <v>674</v>
      </c>
      <c r="S1678" t="s">
        <v>675</v>
      </c>
      <c r="T1678" s="1" t="s">
        <v>818</v>
      </c>
      <c r="U1678">
        <v>402</v>
      </c>
      <c r="V1678" t="s">
        <v>664</v>
      </c>
      <c r="W1678" t="s">
        <v>668</v>
      </c>
      <c r="X1678" t="s">
        <v>224</v>
      </c>
    </row>
    <row r="1679" spans="1:24">
      <c r="A1679">
        <v>13531</v>
      </c>
      <c r="B1679" t="s">
        <v>25</v>
      </c>
      <c r="C1679" t="str">
        <f t="shared" si="54"/>
        <v>INTEGRA Saloon</v>
      </c>
      <c r="D1679" t="str">
        <f t="shared" si="53"/>
        <v>1.6 i</v>
      </c>
      <c r="E1679" t="s">
        <v>26</v>
      </c>
      <c r="F1679">
        <v>198501</v>
      </c>
      <c r="G1679">
        <v>199012</v>
      </c>
      <c r="H1679">
        <v>88</v>
      </c>
      <c r="I1679">
        <v>120</v>
      </c>
      <c r="J1679">
        <v>1590</v>
      </c>
      <c r="K1679">
        <v>2807313</v>
      </c>
      <c r="L1679" t="s">
        <v>239</v>
      </c>
      <c r="M1679" t="str">
        <f>"1740"</f>
        <v>1740</v>
      </c>
      <c r="N1679" t="str">
        <f>"174.0"</f>
        <v>174.0</v>
      </c>
      <c r="O1679" t="str">
        <f>"21446"</f>
        <v>21446</v>
      </c>
      <c r="P1679" t="s">
        <v>664</v>
      </c>
      <c r="Q1679" t="str">
        <f>""</f>
        <v/>
      </c>
      <c r="R1679" t="s">
        <v>677</v>
      </c>
      <c r="S1679" t="s">
        <v>678</v>
      </c>
      <c r="T1679" s="1" t="s">
        <v>819</v>
      </c>
      <c r="U1679">
        <v>402</v>
      </c>
      <c r="V1679" t="s">
        <v>664</v>
      </c>
      <c r="W1679" t="s">
        <v>668</v>
      </c>
      <c r="X1679" t="s">
        <v>224</v>
      </c>
    </row>
    <row r="1680" spans="1:24">
      <c r="A1680">
        <v>13531</v>
      </c>
      <c r="B1680" t="s">
        <v>25</v>
      </c>
      <c r="C1680" t="str">
        <f t="shared" si="54"/>
        <v>INTEGRA Saloon</v>
      </c>
      <c r="D1680" t="str">
        <f t="shared" si="53"/>
        <v>1.6 i</v>
      </c>
      <c r="E1680" t="s">
        <v>26</v>
      </c>
      <c r="F1680">
        <v>198501</v>
      </c>
      <c r="G1680">
        <v>199012</v>
      </c>
      <c r="H1680">
        <v>88</v>
      </c>
      <c r="I1680">
        <v>120</v>
      </c>
      <c r="J1680">
        <v>1590</v>
      </c>
      <c r="K1680">
        <v>2807438</v>
      </c>
      <c r="L1680" t="s">
        <v>239</v>
      </c>
      <c r="M1680" t="str">
        <f>"2461"</f>
        <v>2461</v>
      </c>
      <c r="N1680" t="str">
        <f>"246.1"</f>
        <v>246.1</v>
      </c>
      <c r="O1680" t="str">
        <f>"20099"</f>
        <v>20099</v>
      </c>
      <c r="P1680" t="s">
        <v>664</v>
      </c>
      <c r="Q1680" t="str">
        <f>""</f>
        <v/>
      </c>
      <c r="R1680" t="s">
        <v>680</v>
      </c>
      <c r="S1680" t="s">
        <v>681</v>
      </c>
      <c r="T1680" s="1" t="s">
        <v>820</v>
      </c>
      <c r="U1680">
        <v>402</v>
      </c>
      <c r="V1680" t="s">
        <v>664</v>
      </c>
      <c r="W1680" t="s">
        <v>668</v>
      </c>
      <c r="X1680" t="s">
        <v>224</v>
      </c>
    </row>
    <row r="1681" spans="1:24">
      <c r="A1681">
        <v>13531</v>
      </c>
      <c r="B1681" t="s">
        <v>25</v>
      </c>
      <c r="C1681" t="str">
        <f t="shared" si="54"/>
        <v>INTEGRA Saloon</v>
      </c>
      <c r="D1681" t="str">
        <f t="shared" si="53"/>
        <v>1.6 i</v>
      </c>
      <c r="E1681" t="s">
        <v>26</v>
      </c>
      <c r="F1681">
        <v>198501</v>
      </c>
      <c r="G1681">
        <v>199012</v>
      </c>
      <c r="H1681">
        <v>88</v>
      </c>
      <c r="I1681">
        <v>120</v>
      </c>
      <c r="J1681">
        <v>1590</v>
      </c>
      <c r="K1681">
        <v>2991211</v>
      </c>
      <c r="L1681" t="s">
        <v>242</v>
      </c>
      <c r="M1681" t="str">
        <f>"FD6290A"</f>
        <v>FD6290A</v>
      </c>
      <c r="N1681" t="str">
        <f>"FD6290A"</f>
        <v>FD6290A</v>
      </c>
      <c r="O1681" t="str">
        <f>"20099"</f>
        <v>20099</v>
      </c>
      <c r="P1681" t="s">
        <v>664</v>
      </c>
      <c r="Q1681" t="str">
        <f>"8426345502214"</f>
        <v>8426345502214</v>
      </c>
      <c r="R1681" t="s">
        <v>821</v>
      </c>
      <c r="T1681" s="1" t="s">
        <v>1678</v>
      </c>
      <c r="U1681">
        <v>402</v>
      </c>
      <c r="V1681" t="s">
        <v>664</v>
      </c>
      <c r="W1681" t="s">
        <v>668</v>
      </c>
      <c r="X1681" t="s">
        <v>224</v>
      </c>
    </row>
    <row r="1682" spans="1:24">
      <c r="A1682">
        <v>13531</v>
      </c>
      <c r="B1682" t="s">
        <v>25</v>
      </c>
      <c r="C1682" t="str">
        <f t="shared" si="54"/>
        <v>INTEGRA Saloon</v>
      </c>
      <c r="D1682" t="str">
        <f t="shared" si="53"/>
        <v>1.6 i</v>
      </c>
      <c r="E1682" t="s">
        <v>26</v>
      </c>
      <c r="F1682">
        <v>198501</v>
      </c>
      <c r="G1682">
        <v>199012</v>
      </c>
      <c r="H1682">
        <v>88</v>
      </c>
      <c r="I1682">
        <v>120</v>
      </c>
      <c r="J1682">
        <v>1590</v>
      </c>
      <c r="K1682">
        <v>2991240</v>
      </c>
      <c r="L1682" t="s">
        <v>242</v>
      </c>
      <c r="M1682" t="str">
        <f>"FD6344A"</f>
        <v>FD6344A</v>
      </c>
      <c r="N1682" t="str">
        <f>"FD6344A"</f>
        <v>FD6344A</v>
      </c>
      <c r="O1682" t="str">
        <f>"21312"</f>
        <v>21312</v>
      </c>
      <c r="P1682" t="s">
        <v>664</v>
      </c>
      <c r="Q1682" t="str">
        <f>"8426345502368"</f>
        <v>8426345502368</v>
      </c>
      <c r="R1682" t="s">
        <v>740</v>
      </c>
      <c r="T1682" s="1" t="s">
        <v>823</v>
      </c>
      <c r="U1682">
        <v>402</v>
      </c>
      <c r="V1682" t="s">
        <v>664</v>
      </c>
      <c r="W1682" t="s">
        <v>668</v>
      </c>
      <c r="X1682" t="s">
        <v>224</v>
      </c>
    </row>
    <row r="1683" spans="1:24">
      <c r="A1683">
        <v>13531</v>
      </c>
      <c r="B1683" t="s">
        <v>25</v>
      </c>
      <c r="C1683" t="str">
        <f t="shared" si="54"/>
        <v>INTEGRA Saloon</v>
      </c>
      <c r="D1683" t="str">
        <f t="shared" si="53"/>
        <v>1.6 i</v>
      </c>
      <c r="E1683" t="s">
        <v>26</v>
      </c>
      <c r="F1683">
        <v>198501</v>
      </c>
      <c r="G1683">
        <v>199012</v>
      </c>
      <c r="H1683">
        <v>88</v>
      </c>
      <c r="I1683">
        <v>120</v>
      </c>
      <c r="J1683">
        <v>1590</v>
      </c>
      <c r="K1683">
        <v>2991241</v>
      </c>
      <c r="L1683" t="s">
        <v>242</v>
      </c>
      <c r="M1683" t="str">
        <f>"FD6344N"</f>
        <v>FD6344N</v>
      </c>
      <c r="N1683" t="str">
        <f>"FD6344N"</f>
        <v>FD6344N</v>
      </c>
      <c r="O1683" t="str">
        <f>"21312"</f>
        <v>21312</v>
      </c>
      <c r="P1683" t="s">
        <v>664</v>
      </c>
      <c r="Q1683" t="str">
        <f>"4044197383672"</f>
        <v>4044197383672</v>
      </c>
      <c r="R1683" t="s">
        <v>824</v>
      </c>
      <c r="T1683" s="1" t="s">
        <v>825</v>
      </c>
      <c r="U1683">
        <v>402</v>
      </c>
      <c r="V1683" t="s">
        <v>664</v>
      </c>
      <c r="W1683" t="s">
        <v>668</v>
      </c>
      <c r="X1683" t="s">
        <v>224</v>
      </c>
    </row>
    <row r="1684" spans="1:24">
      <c r="A1684">
        <v>13531</v>
      </c>
      <c r="B1684" t="s">
        <v>25</v>
      </c>
      <c r="C1684" t="str">
        <f t="shared" si="54"/>
        <v>INTEGRA Saloon</v>
      </c>
      <c r="D1684" t="str">
        <f t="shared" si="53"/>
        <v>1.6 i</v>
      </c>
      <c r="E1684" t="s">
        <v>26</v>
      </c>
      <c r="F1684">
        <v>198501</v>
      </c>
      <c r="G1684">
        <v>199012</v>
      </c>
      <c r="H1684">
        <v>88</v>
      </c>
      <c r="I1684">
        <v>120</v>
      </c>
      <c r="J1684">
        <v>1590</v>
      </c>
      <c r="K1684">
        <v>3030816</v>
      </c>
      <c r="L1684" t="s">
        <v>33</v>
      </c>
      <c r="M1684" t="str">
        <f>"J3604018"</f>
        <v>J3604018</v>
      </c>
      <c r="N1684" t="str">
        <f>"J3604018"</f>
        <v>J3604018</v>
      </c>
      <c r="O1684" t="str">
        <f>""</f>
        <v/>
      </c>
      <c r="P1684" t="s">
        <v>664</v>
      </c>
      <c r="Q1684" t="str">
        <f>"8711768056544"</f>
        <v>8711768056544</v>
      </c>
      <c r="R1684" t="s">
        <v>826</v>
      </c>
      <c r="S1684" t="s">
        <v>310</v>
      </c>
      <c r="T1684" s="1" t="s">
        <v>827</v>
      </c>
      <c r="U1684">
        <v>402</v>
      </c>
      <c r="V1684" t="s">
        <v>664</v>
      </c>
      <c r="W1684" t="s">
        <v>668</v>
      </c>
      <c r="X1684" t="s">
        <v>224</v>
      </c>
    </row>
    <row r="1685" spans="1:24">
      <c r="A1685">
        <v>13531</v>
      </c>
      <c r="B1685" t="s">
        <v>25</v>
      </c>
      <c r="C1685" t="str">
        <f t="shared" si="54"/>
        <v>INTEGRA Saloon</v>
      </c>
      <c r="D1685" t="str">
        <f t="shared" si="53"/>
        <v>1.6 i</v>
      </c>
      <c r="E1685" t="s">
        <v>26</v>
      </c>
      <c r="F1685">
        <v>198501</v>
      </c>
      <c r="G1685">
        <v>199012</v>
      </c>
      <c r="H1685">
        <v>88</v>
      </c>
      <c r="I1685">
        <v>120</v>
      </c>
      <c r="J1685">
        <v>1590</v>
      </c>
      <c r="K1685">
        <v>3030988</v>
      </c>
      <c r="L1685" t="s">
        <v>33</v>
      </c>
      <c r="M1685" t="str">
        <f>"J3614004"</f>
        <v>J3614004</v>
      </c>
      <c r="N1685" t="str">
        <f>"J3614004"</f>
        <v>J3614004</v>
      </c>
      <c r="O1685" t="str">
        <f>""</f>
        <v/>
      </c>
      <c r="P1685" t="s">
        <v>664</v>
      </c>
      <c r="Q1685" t="str">
        <f>"8711768057732"</f>
        <v>8711768057732</v>
      </c>
      <c r="R1685" t="s">
        <v>828</v>
      </c>
      <c r="S1685" t="s">
        <v>221</v>
      </c>
      <c r="T1685" s="1" t="s">
        <v>829</v>
      </c>
      <c r="U1685">
        <v>402</v>
      </c>
      <c r="V1685" t="s">
        <v>664</v>
      </c>
      <c r="W1685" t="s">
        <v>668</v>
      </c>
      <c r="X1685" t="s">
        <v>224</v>
      </c>
    </row>
    <row r="1686" spans="1:24">
      <c r="A1686">
        <v>13531</v>
      </c>
      <c r="B1686" t="s">
        <v>25</v>
      </c>
      <c r="C1686" t="str">
        <f t="shared" si="54"/>
        <v>INTEGRA Saloon</v>
      </c>
      <c r="D1686" t="str">
        <f t="shared" si="53"/>
        <v>1.6 i</v>
      </c>
      <c r="E1686" t="s">
        <v>26</v>
      </c>
      <c r="F1686">
        <v>198501</v>
      </c>
      <c r="G1686">
        <v>199012</v>
      </c>
      <c r="H1686">
        <v>88</v>
      </c>
      <c r="I1686">
        <v>120</v>
      </c>
      <c r="J1686">
        <v>1590</v>
      </c>
      <c r="K1686">
        <v>3228278</v>
      </c>
      <c r="L1686" t="s">
        <v>401</v>
      </c>
      <c r="M1686" t="str">
        <f>"6104999"</f>
        <v>6104999</v>
      </c>
      <c r="N1686" t="str">
        <f>"6104999"</f>
        <v>6104999</v>
      </c>
      <c r="O1686" t="str">
        <f>"21312"</f>
        <v>21312</v>
      </c>
      <c r="P1686" t="s">
        <v>664</v>
      </c>
      <c r="Q1686" t="str">
        <f>"3322937437313"</f>
        <v>3322937437313</v>
      </c>
      <c r="R1686" t="s">
        <v>795</v>
      </c>
      <c r="S1686" t="s">
        <v>675</v>
      </c>
      <c r="T1686" s="1" t="s">
        <v>830</v>
      </c>
      <c r="U1686">
        <v>402</v>
      </c>
      <c r="V1686" t="s">
        <v>664</v>
      </c>
      <c r="W1686" t="s">
        <v>668</v>
      </c>
      <c r="X1686" t="s">
        <v>224</v>
      </c>
    </row>
    <row r="1687" spans="1:24">
      <c r="A1687">
        <v>13531</v>
      </c>
      <c r="B1687" t="s">
        <v>25</v>
      </c>
      <c r="C1687" t="str">
        <f t="shared" si="54"/>
        <v>INTEGRA Saloon</v>
      </c>
      <c r="D1687" t="str">
        <f t="shared" si="53"/>
        <v>1.6 i</v>
      </c>
      <c r="E1687" t="s">
        <v>26</v>
      </c>
      <c r="F1687">
        <v>198501</v>
      </c>
      <c r="G1687">
        <v>199012</v>
      </c>
      <c r="H1687">
        <v>88</v>
      </c>
      <c r="I1687">
        <v>120</v>
      </c>
      <c r="J1687">
        <v>1590</v>
      </c>
      <c r="K1687">
        <v>3228413</v>
      </c>
      <c r="L1687" t="s">
        <v>401</v>
      </c>
      <c r="M1687" t="str">
        <f>"6109259"</f>
        <v>6109259</v>
      </c>
      <c r="N1687" t="str">
        <f>"6109259"</f>
        <v>6109259</v>
      </c>
      <c r="O1687" t="str">
        <f>"20099"</f>
        <v>20099</v>
      </c>
      <c r="P1687" t="s">
        <v>664</v>
      </c>
      <c r="Q1687" t="str">
        <f>"3322937438792"</f>
        <v>3322937438792</v>
      </c>
      <c r="R1687" t="s">
        <v>797</v>
      </c>
      <c r="S1687" t="s">
        <v>316</v>
      </c>
      <c r="T1687" s="1" t="s">
        <v>831</v>
      </c>
      <c r="U1687">
        <v>402</v>
      </c>
      <c r="V1687" t="s">
        <v>664</v>
      </c>
      <c r="W1687" t="s">
        <v>668</v>
      </c>
      <c r="X1687" t="s">
        <v>224</v>
      </c>
    </row>
    <row r="1688" spans="1:24">
      <c r="A1688">
        <v>13531</v>
      </c>
      <c r="B1688" t="s">
        <v>25</v>
      </c>
      <c r="C1688" t="str">
        <f t="shared" si="54"/>
        <v>INTEGRA Saloon</v>
      </c>
      <c r="D1688" t="str">
        <f t="shared" si="53"/>
        <v>1.6 i</v>
      </c>
      <c r="E1688" t="s">
        <v>26</v>
      </c>
      <c r="F1688">
        <v>198501</v>
      </c>
      <c r="G1688">
        <v>199012</v>
      </c>
      <c r="H1688">
        <v>88</v>
      </c>
      <c r="I1688">
        <v>120</v>
      </c>
      <c r="J1688">
        <v>1590</v>
      </c>
      <c r="K1688">
        <v>3229246</v>
      </c>
      <c r="L1688" t="s">
        <v>401</v>
      </c>
      <c r="M1688" t="str">
        <f>"6130349"</f>
        <v>6130349</v>
      </c>
      <c r="N1688" t="str">
        <f>"6130349"</f>
        <v>6130349</v>
      </c>
      <c r="O1688" t="str">
        <f>"21446"</f>
        <v>21446</v>
      </c>
      <c r="P1688" t="s">
        <v>664</v>
      </c>
      <c r="Q1688" t="str">
        <f>"3322937444755"</f>
        <v>3322937444755</v>
      </c>
      <c r="R1688" t="s">
        <v>793</v>
      </c>
      <c r="S1688" t="s">
        <v>678</v>
      </c>
      <c r="T1688" s="1" t="s">
        <v>832</v>
      </c>
      <c r="U1688">
        <v>402</v>
      </c>
      <c r="V1688" t="s">
        <v>664</v>
      </c>
      <c r="W1688" t="s">
        <v>668</v>
      </c>
      <c r="X1688" t="s">
        <v>224</v>
      </c>
    </row>
    <row r="1689" spans="1:24">
      <c r="A1689">
        <v>13531</v>
      </c>
      <c r="B1689" t="s">
        <v>25</v>
      </c>
      <c r="C1689" t="str">
        <f t="shared" si="54"/>
        <v>INTEGRA Saloon</v>
      </c>
      <c r="D1689" t="str">
        <f t="shared" si="53"/>
        <v>1.6 i</v>
      </c>
      <c r="E1689" t="s">
        <v>26</v>
      </c>
      <c r="F1689">
        <v>198501</v>
      </c>
      <c r="G1689">
        <v>199012</v>
      </c>
      <c r="H1689">
        <v>88</v>
      </c>
      <c r="I1689">
        <v>120</v>
      </c>
      <c r="J1689">
        <v>1590</v>
      </c>
      <c r="K1689">
        <v>3234188</v>
      </c>
      <c r="L1689" t="s">
        <v>199</v>
      </c>
      <c r="M1689" t="str">
        <f>"022802"</f>
        <v>022802</v>
      </c>
      <c r="N1689" t="str">
        <f>"0228 02"</f>
        <v>0228 02</v>
      </c>
      <c r="O1689" t="str">
        <f>""</f>
        <v/>
      </c>
      <c r="P1689" t="s">
        <v>664</v>
      </c>
      <c r="Q1689" t="str">
        <f>""</f>
        <v/>
      </c>
      <c r="R1689" t="s">
        <v>774</v>
      </c>
      <c r="T1689" s="1" t="s">
        <v>780</v>
      </c>
      <c r="U1689">
        <v>402</v>
      </c>
      <c r="V1689" t="s">
        <v>664</v>
      </c>
      <c r="W1689" t="s">
        <v>668</v>
      </c>
      <c r="X1689" t="s">
        <v>224</v>
      </c>
    </row>
    <row r="1690" spans="1:24">
      <c r="A1690">
        <v>13531</v>
      </c>
      <c r="B1690" t="s">
        <v>25</v>
      </c>
      <c r="C1690" t="str">
        <f t="shared" si="54"/>
        <v>INTEGRA Saloon</v>
      </c>
      <c r="D1690" t="str">
        <f t="shared" si="53"/>
        <v>1.6 i</v>
      </c>
      <c r="E1690" t="s">
        <v>26</v>
      </c>
      <c r="F1690">
        <v>198501</v>
      </c>
      <c r="G1690">
        <v>199012</v>
      </c>
      <c r="H1690">
        <v>88</v>
      </c>
      <c r="I1690">
        <v>120</v>
      </c>
      <c r="J1690">
        <v>1590</v>
      </c>
      <c r="K1690">
        <v>3234197</v>
      </c>
      <c r="L1690" t="s">
        <v>199</v>
      </c>
      <c r="M1690" t="str">
        <f>"023320"</f>
        <v>023320</v>
      </c>
      <c r="N1690" t="str">
        <f>"0233 20"</f>
        <v>0233 20</v>
      </c>
      <c r="O1690" t="str">
        <f>""</f>
        <v/>
      </c>
      <c r="P1690" t="s">
        <v>664</v>
      </c>
      <c r="Q1690" t="str">
        <f>""</f>
        <v/>
      </c>
      <c r="R1690" s="1" t="s">
        <v>776</v>
      </c>
      <c r="T1690" s="1" t="s">
        <v>781</v>
      </c>
      <c r="U1690">
        <v>402</v>
      </c>
      <c r="V1690" t="s">
        <v>664</v>
      </c>
      <c r="W1690" t="s">
        <v>668</v>
      </c>
      <c r="X1690" t="s">
        <v>224</v>
      </c>
    </row>
    <row r="1691" spans="1:24">
      <c r="A1691">
        <v>13531</v>
      </c>
      <c r="B1691" t="s">
        <v>25</v>
      </c>
      <c r="C1691" t="str">
        <f t="shared" si="54"/>
        <v>INTEGRA Saloon</v>
      </c>
      <c r="D1691" t="str">
        <f t="shared" si="53"/>
        <v>1.6 i</v>
      </c>
      <c r="E1691" t="s">
        <v>26</v>
      </c>
      <c r="F1691">
        <v>198501</v>
      </c>
      <c r="G1691">
        <v>199012</v>
      </c>
      <c r="H1691">
        <v>88</v>
      </c>
      <c r="I1691">
        <v>120</v>
      </c>
      <c r="J1691">
        <v>1590</v>
      </c>
      <c r="K1691">
        <v>3234996</v>
      </c>
      <c r="L1691" t="s">
        <v>199</v>
      </c>
      <c r="M1691" t="str">
        <f>"064610"</f>
        <v>064610</v>
      </c>
      <c r="N1691" t="str">
        <f>"0646 10"</f>
        <v>0646 10</v>
      </c>
      <c r="O1691" t="str">
        <f>""</f>
        <v/>
      </c>
      <c r="P1691" t="s">
        <v>664</v>
      </c>
      <c r="Q1691" t="str">
        <f>""</f>
        <v/>
      </c>
      <c r="R1691" t="s">
        <v>782</v>
      </c>
      <c r="T1691" s="1" t="s">
        <v>833</v>
      </c>
      <c r="U1691">
        <v>402</v>
      </c>
      <c r="V1691" t="s">
        <v>664</v>
      </c>
      <c r="W1691" t="s">
        <v>668</v>
      </c>
      <c r="X1691" t="s">
        <v>224</v>
      </c>
    </row>
    <row r="1692" spans="1:24">
      <c r="A1692">
        <v>13531</v>
      </c>
      <c r="B1692" t="s">
        <v>25</v>
      </c>
      <c r="C1692" t="str">
        <f t="shared" si="54"/>
        <v>INTEGRA Saloon</v>
      </c>
      <c r="D1692" t="str">
        <f t="shared" si="53"/>
        <v>1.6 i</v>
      </c>
      <c r="E1692" t="s">
        <v>26</v>
      </c>
      <c r="F1692">
        <v>198501</v>
      </c>
      <c r="G1692">
        <v>199012</v>
      </c>
      <c r="H1692">
        <v>88</v>
      </c>
      <c r="I1692">
        <v>120</v>
      </c>
      <c r="J1692">
        <v>1590</v>
      </c>
      <c r="K1692">
        <v>3299734</v>
      </c>
      <c r="L1692" t="s">
        <v>247</v>
      </c>
      <c r="M1692" t="str">
        <f>"1731"</f>
        <v>1731</v>
      </c>
      <c r="N1692" t="str">
        <f>"173.1"</f>
        <v>173.1</v>
      </c>
      <c r="O1692" t="str">
        <f>"21312"</f>
        <v>21312</v>
      </c>
      <c r="P1692" t="s">
        <v>664</v>
      </c>
      <c r="Q1692" t="str">
        <f>""</f>
        <v/>
      </c>
      <c r="R1692" t="s">
        <v>674</v>
      </c>
      <c r="S1692" t="s">
        <v>675</v>
      </c>
      <c r="T1692" s="1" t="s">
        <v>818</v>
      </c>
      <c r="U1692">
        <v>402</v>
      </c>
      <c r="V1692" t="s">
        <v>664</v>
      </c>
      <c r="W1692" t="s">
        <v>668</v>
      </c>
      <c r="X1692" t="s">
        <v>224</v>
      </c>
    </row>
    <row r="1693" spans="1:24">
      <c r="A1693">
        <v>13531</v>
      </c>
      <c r="B1693" t="s">
        <v>25</v>
      </c>
      <c r="C1693" t="str">
        <f t="shared" si="54"/>
        <v>INTEGRA Saloon</v>
      </c>
      <c r="D1693" t="str">
        <f t="shared" si="53"/>
        <v>1.6 i</v>
      </c>
      <c r="E1693" t="s">
        <v>26</v>
      </c>
      <c r="F1693">
        <v>198501</v>
      </c>
      <c r="G1693">
        <v>199012</v>
      </c>
      <c r="H1693">
        <v>88</v>
      </c>
      <c r="I1693">
        <v>120</v>
      </c>
      <c r="J1693">
        <v>1590</v>
      </c>
      <c r="K1693">
        <v>3299829</v>
      </c>
      <c r="L1693" t="s">
        <v>247</v>
      </c>
      <c r="M1693" t="str">
        <f>"1740"</f>
        <v>1740</v>
      </c>
      <c r="N1693" t="str">
        <f>"174.0"</f>
        <v>174.0</v>
      </c>
      <c r="O1693" t="str">
        <f>"21446"</f>
        <v>21446</v>
      </c>
      <c r="P1693" t="s">
        <v>664</v>
      </c>
      <c r="Q1693" t="str">
        <f>""</f>
        <v/>
      </c>
      <c r="R1693" t="s">
        <v>677</v>
      </c>
      <c r="S1693" t="s">
        <v>678</v>
      </c>
      <c r="T1693" s="1" t="s">
        <v>819</v>
      </c>
      <c r="U1693">
        <v>402</v>
      </c>
      <c r="V1693" t="s">
        <v>664</v>
      </c>
      <c r="W1693" t="s">
        <v>668</v>
      </c>
      <c r="X1693" t="s">
        <v>224</v>
      </c>
    </row>
    <row r="1694" spans="1:24">
      <c r="A1694">
        <v>13531</v>
      </c>
      <c r="B1694" t="s">
        <v>25</v>
      </c>
      <c r="C1694" t="str">
        <f t="shared" si="54"/>
        <v>INTEGRA Saloon</v>
      </c>
      <c r="D1694" t="str">
        <f t="shared" si="53"/>
        <v>1.6 i</v>
      </c>
      <c r="E1694" t="s">
        <v>26</v>
      </c>
      <c r="F1694">
        <v>198501</v>
      </c>
      <c r="G1694">
        <v>199012</v>
      </c>
      <c r="H1694">
        <v>88</v>
      </c>
      <c r="I1694">
        <v>120</v>
      </c>
      <c r="J1694">
        <v>1590</v>
      </c>
      <c r="K1694">
        <v>3300011</v>
      </c>
      <c r="L1694" t="s">
        <v>247</v>
      </c>
      <c r="M1694" t="str">
        <f>"2461"</f>
        <v>2461</v>
      </c>
      <c r="N1694" t="str">
        <f>"246.1"</f>
        <v>246.1</v>
      </c>
      <c r="O1694" t="str">
        <f>"20099"</f>
        <v>20099</v>
      </c>
      <c r="P1694" t="s">
        <v>664</v>
      </c>
      <c r="Q1694" t="str">
        <f>""</f>
        <v/>
      </c>
      <c r="R1694" t="s">
        <v>680</v>
      </c>
      <c r="S1694" t="s">
        <v>681</v>
      </c>
      <c r="T1694" s="1" t="s">
        <v>820</v>
      </c>
      <c r="U1694">
        <v>402</v>
      </c>
      <c r="V1694" t="s">
        <v>664</v>
      </c>
      <c r="W1694" t="s">
        <v>668</v>
      </c>
      <c r="X1694" t="s">
        <v>224</v>
      </c>
    </row>
    <row r="1695" spans="1:24">
      <c r="A1695">
        <v>13531</v>
      </c>
      <c r="B1695" t="s">
        <v>25</v>
      </c>
      <c r="C1695" t="str">
        <f t="shared" si="54"/>
        <v>INTEGRA Saloon</v>
      </c>
      <c r="D1695" t="str">
        <f t="shared" si="53"/>
        <v>1.6 i</v>
      </c>
      <c r="E1695" t="s">
        <v>26</v>
      </c>
      <c r="F1695">
        <v>198501</v>
      </c>
      <c r="G1695">
        <v>199012</v>
      </c>
      <c r="H1695">
        <v>88</v>
      </c>
      <c r="I1695">
        <v>120</v>
      </c>
      <c r="J1695">
        <v>1590</v>
      </c>
      <c r="K1695">
        <v>3362438</v>
      </c>
      <c r="L1695" t="s">
        <v>274</v>
      </c>
      <c r="M1695" t="str">
        <f>"120349"</f>
        <v>120349</v>
      </c>
      <c r="N1695" t="str">
        <f>"12-0349"</f>
        <v>12-0349</v>
      </c>
      <c r="O1695" t="str">
        <f>"20104"</f>
        <v>20104</v>
      </c>
      <c r="P1695" t="s">
        <v>664</v>
      </c>
      <c r="Q1695" t="str">
        <f>""</f>
        <v/>
      </c>
      <c r="R1695" t="s">
        <v>834</v>
      </c>
      <c r="T1695" s="1" t="s">
        <v>835</v>
      </c>
      <c r="U1695">
        <v>402</v>
      </c>
      <c r="V1695" t="s">
        <v>664</v>
      </c>
      <c r="W1695" t="s">
        <v>668</v>
      </c>
      <c r="X1695" t="s">
        <v>224</v>
      </c>
    </row>
    <row r="1696" spans="1:24">
      <c r="A1696">
        <v>13531</v>
      </c>
      <c r="B1696" t="s">
        <v>25</v>
      </c>
      <c r="C1696" t="str">
        <f t="shared" si="54"/>
        <v>INTEGRA Saloon</v>
      </c>
      <c r="D1696" t="str">
        <f t="shared" si="53"/>
        <v>1.6 i</v>
      </c>
      <c r="E1696" t="s">
        <v>26</v>
      </c>
      <c r="F1696">
        <v>198501</v>
      </c>
      <c r="G1696">
        <v>199012</v>
      </c>
      <c r="H1696">
        <v>88</v>
      </c>
      <c r="I1696">
        <v>120</v>
      </c>
      <c r="J1696">
        <v>1590</v>
      </c>
      <c r="K1696">
        <v>3362460</v>
      </c>
      <c r="L1696" t="s">
        <v>274</v>
      </c>
      <c r="M1696" t="str">
        <f>"120371"</f>
        <v>120371</v>
      </c>
      <c r="N1696" t="str">
        <f>"12-0371"</f>
        <v>12-0371</v>
      </c>
      <c r="O1696" t="str">
        <f>"20067"</f>
        <v>20067</v>
      </c>
      <c r="P1696" t="s">
        <v>664</v>
      </c>
      <c r="Q1696" t="str">
        <f>""</f>
        <v/>
      </c>
      <c r="R1696" t="s">
        <v>836</v>
      </c>
      <c r="T1696" s="1" t="s">
        <v>837</v>
      </c>
      <c r="U1696">
        <v>402</v>
      </c>
      <c r="V1696" t="s">
        <v>664</v>
      </c>
      <c r="W1696" t="s">
        <v>668</v>
      </c>
      <c r="X1696" t="s">
        <v>224</v>
      </c>
    </row>
    <row r="1697" spans="1:24">
      <c r="A1697">
        <v>13531</v>
      </c>
      <c r="B1697" t="s">
        <v>25</v>
      </c>
      <c r="C1697" t="str">
        <f t="shared" si="54"/>
        <v>INTEGRA Saloon</v>
      </c>
      <c r="D1697" t="str">
        <f t="shared" si="53"/>
        <v>1.6 i</v>
      </c>
      <c r="E1697" t="s">
        <v>26</v>
      </c>
      <c r="F1697">
        <v>198501</v>
      </c>
      <c r="G1697">
        <v>199012</v>
      </c>
      <c r="H1697">
        <v>88</v>
      </c>
      <c r="I1697">
        <v>120</v>
      </c>
      <c r="J1697">
        <v>1590</v>
      </c>
      <c r="K1697">
        <v>3362484</v>
      </c>
      <c r="L1697" t="s">
        <v>274</v>
      </c>
      <c r="M1697" t="str">
        <f>"120396"</f>
        <v>120396</v>
      </c>
      <c r="N1697" t="str">
        <f>"12-0396"</f>
        <v>12-0396</v>
      </c>
      <c r="O1697" t="str">
        <f>"21312"</f>
        <v>21312</v>
      </c>
      <c r="P1697" t="s">
        <v>664</v>
      </c>
      <c r="Q1697" t="str">
        <f>""</f>
        <v/>
      </c>
      <c r="R1697" t="s">
        <v>838</v>
      </c>
      <c r="T1697" s="1" t="s">
        <v>839</v>
      </c>
      <c r="U1697">
        <v>402</v>
      </c>
      <c r="V1697" t="s">
        <v>664</v>
      </c>
      <c r="W1697" t="s">
        <v>668</v>
      </c>
      <c r="X1697" t="s">
        <v>224</v>
      </c>
    </row>
    <row r="1698" spans="1:24">
      <c r="A1698">
        <v>13531</v>
      </c>
      <c r="B1698" t="s">
        <v>25</v>
      </c>
      <c r="C1698" t="str">
        <f t="shared" si="54"/>
        <v>INTEGRA Saloon</v>
      </c>
      <c r="D1698" t="str">
        <f t="shared" si="53"/>
        <v>1.6 i</v>
      </c>
      <c r="E1698" t="s">
        <v>26</v>
      </c>
      <c r="F1698">
        <v>198501</v>
      </c>
      <c r="G1698">
        <v>199012</v>
      </c>
      <c r="H1698">
        <v>88</v>
      </c>
      <c r="I1698">
        <v>120</v>
      </c>
      <c r="J1698">
        <v>1590</v>
      </c>
      <c r="K1698">
        <v>3362566</v>
      </c>
      <c r="L1698" t="s">
        <v>274</v>
      </c>
      <c r="M1698" t="str">
        <f>"120479"</f>
        <v>120479</v>
      </c>
      <c r="N1698" t="str">
        <f>"12-0479"</f>
        <v>12-0479</v>
      </c>
      <c r="O1698" t="str">
        <f>"21323"</f>
        <v>21323</v>
      </c>
      <c r="P1698" t="s">
        <v>664</v>
      </c>
      <c r="Q1698" t="str">
        <f>""</f>
        <v/>
      </c>
      <c r="R1698" t="s">
        <v>840</v>
      </c>
      <c r="T1698" s="1" t="s">
        <v>841</v>
      </c>
      <c r="U1698">
        <v>402</v>
      </c>
      <c r="V1698" t="s">
        <v>664</v>
      </c>
      <c r="W1698" t="s">
        <v>668</v>
      </c>
      <c r="X1698" t="s">
        <v>224</v>
      </c>
    </row>
    <row r="1699" spans="1:24">
      <c r="A1699">
        <v>13531</v>
      </c>
      <c r="B1699" t="s">
        <v>25</v>
      </c>
      <c r="C1699" t="str">
        <f t="shared" si="54"/>
        <v>INTEGRA Saloon</v>
      </c>
      <c r="D1699" t="str">
        <f t="shared" si="53"/>
        <v>1.6 i</v>
      </c>
      <c r="E1699" t="s">
        <v>26</v>
      </c>
      <c r="F1699">
        <v>198501</v>
      </c>
      <c r="G1699">
        <v>199012</v>
      </c>
      <c r="H1699">
        <v>88</v>
      </c>
      <c r="I1699">
        <v>120</v>
      </c>
      <c r="J1699">
        <v>1590</v>
      </c>
      <c r="K1699">
        <v>3362567</v>
      </c>
      <c r="L1699" t="s">
        <v>274</v>
      </c>
      <c r="M1699" t="str">
        <f>"120480"</f>
        <v>120480</v>
      </c>
      <c r="N1699" t="str">
        <f>"12-0480"</f>
        <v>12-0480</v>
      </c>
      <c r="O1699" t="str">
        <f>"21446"</f>
        <v>21446</v>
      </c>
      <c r="P1699" t="s">
        <v>664</v>
      </c>
      <c r="Q1699" t="str">
        <f>""</f>
        <v/>
      </c>
      <c r="R1699" t="s">
        <v>842</v>
      </c>
      <c r="T1699" s="1" t="s">
        <v>843</v>
      </c>
      <c r="U1699">
        <v>402</v>
      </c>
      <c r="V1699" t="s">
        <v>664</v>
      </c>
      <c r="W1699" t="s">
        <v>668</v>
      </c>
      <c r="X1699" t="s">
        <v>224</v>
      </c>
    </row>
    <row r="1700" spans="1:24">
      <c r="A1700">
        <v>13531</v>
      </c>
      <c r="B1700" t="s">
        <v>25</v>
      </c>
      <c r="C1700" t="str">
        <f t="shared" si="54"/>
        <v>INTEGRA Saloon</v>
      </c>
      <c r="D1700" t="str">
        <f t="shared" si="53"/>
        <v>1.6 i</v>
      </c>
      <c r="E1700" t="s">
        <v>26</v>
      </c>
      <c r="F1700">
        <v>198501</v>
      </c>
      <c r="G1700">
        <v>199012</v>
      </c>
      <c r="H1700">
        <v>88</v>
      </c>
      <c r="I1700">
        <v>120</v>
      </c>
      <c r="J1700">
        <v>1590</v>
      </c>
      <c r="K1700">
        <v>3368766</v>
      </c>
      <c r="L1700" t="s">
        <v>248</v>
      </c>
      <c r="M1700" t="str">
        <f>"8221701"</f>
        <v>8221701</v>
      </c>
      <c r="N1700" t="str">
        <f>"822-170-1"</f>
        <v>822-170-1</v>
      </c>
      <c r="O1700" t="str">
        <f>""</f>
        <v/>
      </c>
      <c r="P1700" t="s">
        <v>664</v>
      </c>
      <c r="Q1700" t="str">
        <f>""</f>
        <v/>
      </c>
      <c r="R1700" t="s">
        <v>674</v>
      </c>
      <c r="S1700" t="s">
        <v>675</v>
      </c>
      <c r="T1700" s="1" t="s">
        <v>844</v>
      </c>
      <c r="U1700">
        <v>402</v>
      </c>
      <c r="V1700" t="s">
        <v>664</v>
      </c>
      <c r="W1700" t="s">
        <v>668</v>
      </c>
      <c r="X1700" t="s">
        <v>224</v>
      </c>
    </row>
    <row r="1701" spans="1:24">
      <c r="A1701">
        <v>13531</v>
      </c>
      <c r="B1701" t="s">
        <v>25</v>
      </c>
      <c r="C1701" t="str">
        <f t="shared" si="54"/>
        <v>INTEGRA Saloon</v>
      </c>
      <c r="D1701" t="str">
        <f t="shared" si="53"/>
        <v>1.6 i</v>
      </c>
      <c r="E1701" t="s">
        <v>26</v>
      </c>
      <c r="F1701">
        <v>198501</v>
      </c>
      <c r="G1701">
        <v>199012</v>
      </c>
      <c r="H1701">
        <v>88</v>
      </c>
      <c r="I1701">
        <v>120</v>
      </c>
      <c r="J1701">
        <v>1590</v>
      </c>
      <c r="K1701">
        <v>3368767</v>
      </c>
      <c r="L1701" t="s">
        <v>248</v>
      </c>
      <c r="M1701" t="str">
        <f>"8221710"</f>
        <v>8221710</v>
      </c>
      <c r="N1701" t="str">
        <f>"822-171-0"</f>
        <v>822-171-0</v>
      </c>
      <c r="O1701" t="str">
        <f>""</f>
        <v/>
      </c>
      <c r="P1701" t="s">
        <v>664</v>
      </c>
      <c r="Q1701" t="str">
        <f>""</f>
        <v/>
      </c>
      <c r="R1701" t="s">
        <v>677</v>
      </c>
      <c r="S1701" t="s">
        <v>678</v>
      </c>
      <c r="T1701" s="1" t="s">
        <v>845</v>
      </c>
      <c r="U1701">
        <v>402</v>
      </c>
      <c r="V1701" t="s">
        <v>664</v>
      </c>
      <c r="W1701" t="s">
        <v>668</v>
      </c>
      <c r="X1701" t="s">
        <v>224</v>
      </c>
    </row>
    <row r="1702" spans="1:24">
      <c r="A1702">
        <v>13531</v>
      </c>
      <c r="B1702" t="s">
        <v>25</v>
      </c>
      <c r="C1702" t="str">
        <f t="shared" si="54"/>
        <v>INTEGRA Saloon</v>
      </c>
      <c r="D1702" t="str">
        <f t="shared" si="53"/>
        <v>1.6 i</v>
      </c>
      <c r="E1702" t="s">
        <v>26</v>
      </c>
      <c r="F1702">
        <v>198501</v>
      </c>
      <c r="G1702">
        <v>199012</v>
      </c>
      <c r="H1702">
        <v>88</v>
      </c>
      <c r="I1702">
        <v>120</v>
      </c>
      <c r="J1702">
        <v>1590</v>
      </c>
      <c r="K1702">
        <v>3368892</v>
      </c>
      <c r="L1702" t="s">
        <v>248</v>
      </c>
      <c r="M1702" t="str">
        <f>"8222371"</f>
        <v>8222371</v>
      </c>
      <c r="N1702" t="str">
        <f>"822-237-1"</f>
        <v>822-237-1</v>
      </c>
      <c r="O1702" t="str">
        <f>""</f>
        <v/>
      </c>
      <c r="P1702" t="s">
        <v>664</v>
      </c>
      <c r="Q1702" t="str">
        <f>""</f>
        <v/>
      </c>
      <c r="R1702" t="s">
        <v>680</v>
      </c>
      <c r="S1702" t="s">
        <v>681</v>
      </c>
      <c r="T1702" s="1" t="s">
        <v>846</v>
      </c>
      <c r="U1702">
        <v>402</v>
      </c>
      <c r="V1702" t="s">
        <v>664</v>
      </c>
      <c r="W1702" t="s">
        <v>668</v>
      </c>
      <c r="X1702" t="s">
        <v>224</v>
      </c>
    </row>
    <row r="1703" spans="1:24">
      <c r="A1703">
        <v>13531</v>
      </c>
      <c r="B1703" t="s">
        <v>25</v>
      </c>
      <c r="C1703" t="str">
        <f t="shared" si="54"/>
        <v>INTEGRA Saloon</v>
      </c>
      <c r="D1703" t="str">
        <f t="shared" si="53"/>
        <v>1.6 i</v>
      </c>
      <c r="E1703" t="s">
        <v>26</v>
      </c>
      <c r="F1703">
        <v>198501</v>
      </c>
      <c r="G1703">
        <v>199012</v>
      </c>
      <c r="H1703">
        <v>88</v>
      </c>
      <c r="I1703">
        <v>120</v>
      </c>
      <c r="J1703">
        <v>1590</v>
      </c>
      <c r="K1703">
        <v>3658278</v>
      </c>
      <c r="L1703" t="s">
        <v>410</v>
      </c>
      <c r="M1703" t="str">
        <f>"P328302"</f>
        <v>P328302</v>
      </c>
      <c r="N1703" t="str">
        <f>"P3283.02"</f>
        <v>P3283.02</v>
      </c>
      <c r="O1703" t="str">
        <f>"PSA328302"</f>
        <v>PSA328302</v>
      </c>
      <c r="P1703" t="s">
        <v>664</v>
      </c>
      <c r="Q1703" t="str">
        <f>"8427975255747"</f>
        <v>8427975255747</v>
      </c>
      <c r="R1703" t="s">
        <v>774</v>
      </c>
      <c r="T1703" s="1" t="s">
        <v>847</v>
      </c>
      <c r="U1703">
        <v>402</v>
      </c>
      <c r="V1703" t="s">
        <v>664</v>
      </c>
      <c r="W1703" t="s">
        <v>668</v>
      </c>
      <c r="X1703" t="s">
        <v>224</v>
      </c>
    </row>
    <row r="1704" spans="1:24">
      <c r="A1704">
        <v>13531</v>
      </c>
      <c r="B1704" t="s">
        <v>25</v>
      </c>
      <c r="C1704" t="str">
        <f t="shared" si="54"/>
        <v>INTEGRA Saloon</v>
      </c>
      <c r="D1704" t="str">
        <f t="shared" si="53"/>
        <v>1.6 i</v>
      </c>
      <c r="E1704" t="s">
        <v>26</v>
      </c>
      <c r="F1704">
        <v>198501</v>
      </c>
      <c r="G1704">
        <v>199012</v>
      </c>
      <c r="H1704">
        <v>88</v>
      </c>
      <c r="I1704">
        <v>120</v>
      </c>
      <c r="J1704">
        <v>1590</v>
      </c>
      <c r="K1704">
        <v>3658286</v>
      </c>
      <c r="L1704" t="s">
        <v>410</v>
      </c>
      <c r="M1704" t="str">
        <f>"P333320"</f>
        <v>P333320</v>
      </c>
      <c r="N1704" t="str">
        <f>"P3333.20"</f>
        <v>P3333.20</v>
      </c>
      <c r="O1704" t="str">
        <f>"PSA333320"</f>
        <v>PSA333320</v>
      </c>
      <c r="P1704" t="s">
        <v>664</v>
      </c>
      <c r="Q1704" t="str">
        <f>"8427975255839"</f>
        <v>8427975255839</v>
      </c>
      <c r="R1704" s="1" t="s">
        <v>776</v>
      </c>
      <c r="T1704" s="1" t="s">
        <v>848</v>
      </c>
      <c r="U1704">
        <v>402</v>
      </c>
      <c r="V1704" t="s">
        <v>664</v>
      </c>
      <c r="W1704" t="s">
        <v>668</v>
      </c>
      <c r="X1704" t="s">
        <v>224</v>
      </c>
    </row>
    <row r="1705" spans="1:24">
      <c r="A1705">
        <v>13531</v>
      </c>
      <c r="B1705" t="s">
        <v>25</v>
      </c>
      <c r="C1705" t="str">
        <f t="shared" si="54"/>
        <v>INTEGRA Saloon</v>
      </c>
      <c r="D1705" t="str">
        <f t="shared" si="53"/>
        <v>1.6 i</v>
      </c>
      <c r="E1705" t="s">
        <v>26</v>
      </c>
      <c r="F1705">
        <v>198501</v>
      </c>
      <c r="G1705">
        <v>199012</v>
      </c>
      <c r="H1705">
        <v>88</v>
      </c>
      <c r="I1705">
        <v>120</v>
      </c>
      <c r="J1705">
        <v>1590</v>
      </c>
      <c r="K1705">
        <v>3658826</v>
      </c>
      <c r="L1705" t="s">
        <v>410</v>
      </c>
      <c r="M1705" t="str">
        <f>"P746310"</f>
        <v>P746310</v>
      </c>
      <c r="N1705" t="str">
        <f>"P7463.10"</f>
        <v>P7463.10</v>
      </c>
      <c r="O1705" t="str">
        <f>"PSA746310"</f>
        <v>PSA746310</v>
      </c>
      <c r="P1705" t="s">
        <v>664</v>
      </c>
      <c r="Q1705" t="str">
        <f>"8427975262202"</f>
        <v>8427975262202</v>
      </c>
      <c r="R1705" s="1" t="s">
        <v>778</v>
      </c>
      <c r="T1705" s="1" t="s">
        <v>849</v>
      </c>
      <c r="U1705">
        <v>402</v>
      </c>
      <c r="V1705" t="s">
        <v>664</v>
      </c>
      <c r="W1705" t="s">
        <v>668</v>
      </c>
      <c r="X1705" t="s">
        <v>224</v>
      </c>
    </row>
    <row r="1706" spans="1:24">
      <c r="A1706">
        <v>13531</v>
      </c>
      <c r="B1706" t="s">
        <v>25</v>
      </c>
      <c r="C1706" t="str">
        <f t="shared" si="54"/>
        <v>INTEGRA Saloon</v>
      </c>
      <c r="D1706" t="str">
        <f t="shared" si="53"/>
        <v>1.6 i</v>
      </c>
      <c r="E1706" t="s">
        <v>26</v>
      </c>
      <c r="F1706">
        <v>198501</v>
      </c>
      <c r="G1706">
        <v>199012</v>
      </c>
      <c r="H1706">
        <v>88</v>
      </c>
      <c r="I1706">
        <v>120</v>
      </c>
      <c r="J1706">
        <v>1590</v>
      </c>
      <c r="K1706">
        <v>3712150</v>
      </c>
      <c r="L1706" t="s">
        <v>412</v>
      </c>
      <c r="M1706" t="str">
        <f>"PA463"</f>
        <v>PA463</v>
      </c>
      <c r="N1706" t="str">
        <f>"PA463"</f>
        <v>PA463</v>
      </c>
      <c r="O1706" t="str">
        <f>"20099"</f>
        <v>20099</v>
      </c>
      <c r="P1706" t="s">
        <v>664</v>
      </c>
      <c r="Q1706" t="str">
        <f>"5050590452852"</f>
        <v>5050590452852</v>
      </c>
      <c r="R1706" t="s">
        <v>797</v>
      </c>
      <c r="S1706" t="s">
        <v>316</v>
      </c>
      <c r="T1706" s="1" t="s">
        <v>850</v>
      </c>
      <c r="U1706">
        <v>402</v>
      </c>
      <c r="V1706" t="s">
        <v>664</v>
      </c>
      <c r="W1706" t="s">
        <v>668</v>
      </c>
      <c r="X1706" t="s">
        <v>224</v>
      </c>
    </row>
    <row r="1707" spans="1:24">
      <c r="A1707">
        <v>13531</v>
      </c>
      <c r="B1707" t="s">
        <v>25</v>
      </c>
      <c r="C1707" t="str">
        <f t="shared" si="54"/>
        <v>INTEGRA Saloon</v>
      </c>
      <c r="D1707" t="str">
        <f t="shared" si="53"/>
        <v>1.6 i</v>
      </c>
      <c r="E1707" t="s">
        <v>26</v>
      </c>
      <c r="F1707">
        <v>198501</v>
      </c>
      <c r="G1707">
        <v>199012</v>
      </c>
      <c r="H1707">
        <v>88</v>
      </c>
      <c r="I1707">
        <v>120</v>
      </c>
      <c r="J1707">
        <v>1590</v>
      </c>
      <c r="K1707">
        <v>3712206</v>
      </c>
      <c r="L1707" t="s">
        <v>412</v>
      </c>
      <c r="M1707" t="str">
        <f>"PA545"</f>
        <v>PA545</v>
      </c>
      <c r="N1707" t="str">
        <f>"PA545"</f>
        <v>PA545</v>
      </c>
      <c r="O1707" t="str">
        <f>"21312"</f>
        <v>21312</v>
      </c>
      <c r="P1707" t="s">
        <v>664</v>
      </c>
      <c r="Q1707" t="str">
        <f>"5050590453668"</f>
        <v>5050590453668</v>
      </c>
      <c r="R1707" t="s">
        <v>851</v>
      </c>
      <c r="S1707" t="s">
        <v>675</v>
      </c>
      <c r="T1707" s="1" t="s">
        <v>852</v>
      </c>
      <c r="U1707">
        <v>402</v>
      </c>
      <c r="V1707" t="s">
        <v>664</v>
      </c>
      <c r="W1707" t="s">
        <v>668</v>
      </c>
      <c r="X1707" t="s">
        <v>224</v>
      </c>
    </row>
    <row r="1708" spans="1:24">
      <c r="A1708">
        <v>13531</v>
      </c>
      <c r="B1708" t="s">
        <v>25</v>
      </c>
      <c r="C1708" t="str">
        <f t="shared" si="54"/>
        <v>INTEGRA Saloon</v>
      </c>
      <c r="D1708" t="str">
        <f t="shared" si="53"/>
        <v>1.6 i</v>
      </c>
      <c r="E1708" t="s">
        <v>26</v>
      </c>
      <c r="F1708">
        <v>198501</v>
      </c>
      <c r="G1708">
        <v>199012</v>
      </c>
      <c r="H1708">
        <v>88</v>
      </c>
      <c r="I1708">
        <v>120</v>
      </c>
      <c r="J1708">
        <v>1590</v>
      </c>
      <c r="K1708">
        <v>3712247</v>
      </c>
      <c r="L1708" t="s">
        <v>412</v>
      </c>
      <c r="M1708" t="str">
        <f>"PA737"</f>
        <v>PA737</v>
      </c>
      <c r="N1708" t="str">
        <f>"PA737"</f>
        <v>PA737</v>
      </c>
      <c r="O1708" t="str">
        <f>"21446"</f>
        <v>21446</v>
      </c>
      <c r="P1708" t="s">
        <v>664</v>
      </c>
      <c r="Q1708" t="str">
        <f>"5050590455242"</f>
        <v>5050590455242</v>
      </c>
      <c r="R1708" t="s">
        <v>853</v>
      </c>
      <c r="S1708" t="s">
        <v>678</v>
      </c>
      <c r="T1708" s="1" t="s">
        <v>854</v>
      </c>
      <c r="U1708">
        <v>402</v>
      </c>
      <c r="V1708" t="s">
        <v>664</v>
      </c>
      <c r="W1708" t="s">
        <v>668</v>
      </c>
      <c r="X1708" t="s">
        <v>224</v>
      </c>
    </row>
    <row r="1709" spans="1:24">
      <c r="A1709">
        <v>13531</v>
      </c>
      <c r="B1709" t="s">
        <v>25</v>
      </c>
      <c r="C1709" t="str">
        <f t="shared" si="54"/>
        <v>INTEGRA Saloon</v>
      </c>
      <c r="D1709" t="str">
        <f t="shared" si="53"/>
        <v>1.6 i</v>
      </c>
      <c r="E1709" t="s">
        <v>26</v>
      </c>
      <c r="F1709">
        <v>198501</v>
      </c>
      <c r="G1709">
        <v>199012</v>
      </c>
      <c r="H1709">
        <v>88</v>
      </c>
      <c r="I1709">
        <v>120</v>
      </c>
      <c r="J1709">
        <v>1590</v>
      </c>
      <c r="K1709">
        <v>3751363</v>
      </c>
      <c r="L1709" t="s">
        <v>855</v>
      </c>
      <c r="M1709" t="str">
        <f>"4530"</f>
        <v>4530</v>
      </c>
      <c r="N1709" t="str">
        <f>"453.0"</f>
        <v>453.0</v>
      </c>
      <c r="O1709" t="str">
        <f>"21312"</f>
        <v>21312</v>
      </c>
      <c r="P1709" t="s">
        <v>664</v>
      </c>
      <c r="Q1709" t="str">
        <f>""</f>
        <v/>
      </c>
      <c r="R1709" t="s">
        <v>856</v>
      </c>
      <c r="T1709" s="1" t="s">
        <v>1405</v>
      </c>
      <c r="U1709">
        <v>402</v>
      </c>
      <c r="V1709" t="s">
        <v>664</v>
      </c>
      <c r="W1709" t="s">
        <v>668</v>
      </c>
      <c r="X1709" t="s">
        <v>224</v>
      </c>
    </row>
    <row r="1710" spans="1:24">
      <c r="A1710">
        <v>13531</v>
      </c>
      <c r="B1710" t="s">
        <v>25</v>
      </c>
      <c r="C1710" t="str">
        <f t="shared" si="54"/>
        <v>INTEGRA Saloon</v>
      </c>
      <c r="D1710" t="str">
        <f t="shared" si="53"/>
        <v>1.6 i</v>
      </c>
      <c r="E1710" t="s">
        <v>26</v>
      </c>
      <c r="F1710">
        <v>198501</v>
      </c>
      <c r="G1710">
        <v>199012</v>
      </c>
      <c r="H1710">
        <v>88</v>
      </c>
      <c r="I1710">
        <v>120</v>
      </c>
      <c r="J1710">
        <v>1590</v>
      </c>
      <c r="K1710">
        <v>3752703</v>
      </c>
      <c r="L1710" t="s">
        <v>855</v>
      </c>
      <c r="M1710" t="str">
        <f>"RA04530"</f>
        <v>RA04530</v>
      </c>
      <c r="N1710" t="str">
        <f>"RA.0453.0"</f>
        <v>RA.0453.0</v>
      </c>
      <c r="O1710" t="str">
        <f>"21312"</f>
        <v>21312</v>
      </c>
      <c r="P1710" t="s">
        <v>664</v>
      </c>
      <c r="Q1710" t="str">
        <f>""</f>
        <v/>
      </c>
      <c r="R1710" t="s">
        <v>858</v>
      </c>
      <c r="T1710" s="1" t="s">
        <v>857</v>
      </c>
      <c r="U1710">
        <v>402</v>
      </c>
      <c r="V1710" t="s">
        <v>664</v>
      </c>
      <c r="W1710" t="s">
        <v>668</v>
      </c>
      <c r="X1710" t="s">
        <v>224</v>
      </c>
    </row>
    <row r="1711" spans="1:24">
      <c r="A1711">
        <v>13531</v>
      </c>
      <c r="B1711" t="s">
        <v>25</v>
      </c>
      <c r="C1711" t="str">
        <f t="shared" si="54"/>
        <v>INTEGRA Saloon</v>
      </c>
      <c r="D1711" t="str">
        <f t="shared" si="53"/>
        <v>1.6 i</v>
      </c>
      <c r="E1711" t="s">
        <v>26</v>
      </c>
      <c r="F1711">
        <v>198501</v>
      </c>
      <c r="G1711">
        <v>199012</v>
      </c>
      <c r="H1711">
        <v>88</v>
      </c>
      <c r="I1711">
        <v>120</v>
      </c>
      <c r="J1711">
        <v>1590</v>
      </c>
      <c r="K1711">
        <v>3836540</v>
      </c>
      <c r="L1711" t="s">
        <v>419</v>
      </c>
      <c r="M1711" t="str">
        <f>"ADB0242"</f>
        <v>ADB0242</v>
      </c>
      <c r="N1711" t="str">
        <f>"ADB0242"</f>
        <v>ADB0242</v>
      </c>
      <c r="O1711" t="str">
        <f>"2131212.5"</f>
        <v>2131212.5</v>
      </c>
      <c r="P1711" t="s">
        <v>664</v>
      </c>
      <c r="Q1711" t="str">
        <f>""</f>
        <v/>
      </c>
      <c r="R1711" t="s">
        <v>859</v>
      </c>
      <c r="T1711" s="1" t="s">
        <v>860</v>
      </c>
      <c r="U1711">
        <v>402</v>
      </c>
      <c r="V1711" t="s">
        <v>664</v>
      </c>
      <c r="W1711" t="s">
        <v>668</v>
      </c>
      <c r="X1711" t="s">
        <v>224</v>
      </c>
    </row>
    <row r="1712" spans="1:24">
      <c r="A1712">
        <v>13531</v>
      </c>
      <c r="B1712" t="s">
        <v>25</v>
      </c>
      <c r="C1712" t="str">
        <f t="shared" si="54"/>
        <v>INTEGRA Saloon</v>
      </c>
      <c r="D1712" t="str">
        <f t="shared" si="53"/>
        <v>1.6 i</v>
      </c>
      <c r="E1712" t="s">
        <v>26</v>
      </c>
      <c r="F1712">
        <v>198501</v>
      </c>
      <c r="G1712">
        <v>199012</v>
      </c>
      <c r="H1712">
        <v>88</v>
      </c>
      <c r="I1712">
        <v>120</v>
      </c>
      <c r="J1712">
        <v>1590</v>
      </c>
      <c r="K1712">
        <v>3836611</v>
      </c>
      <c r="L1712" t="s">
        <v>419</v>
      </c>
      <c r="M1712" t="str">
        <f>"ADB0460"</f>
        <v>ADB0460</v>
      </c>
      <c r="N1712" t="str">
        <f>"ADB0460"</f>
        <v>ADB0460</v>
      </c>
      <c r="O1712" t="str">
        <f>"21312"</f>
        <v>21312</v>
      </c>
      <c r="P1712" t="s">
        <v>664</v>
      </c>
      <c r="Q1712" t="str">
        <f>""</f>
        <v/>
      </c>
      <c r="R1712" t="s">
        <v>859</v>
      </c>
      <c r="T1712" s="1" t="s">
        <v>861</v>
      </c>
      <c r="U1712">
        <v>402</v>
      </c>
      <c r="V1712" t="s">
        <v>664</v>
      </c>
      <c r="W1712" t="s">
        <v>668</v>
      </c>
      <c r="X1712" t="s">
        <v>224</v>
      </c>
    </row>
    <row r="1713" spans="1:24">
      <c r="A1713">
        <v>13531</v>
      </c>
      <c r="B1713" t="s">
        <v>25</v>
      </c>
      <c r="C1713" t="str">
        <f t="shared" si="54"/>
        <v>INTEGRA Saloon</v>
      </c>
      <c r="D1713" t="str">
        <f t="shared" si="53"/>
        <v>1.6 i</v>
      </c>
      <c r="E1713" t="s">
        <v>26</v>
      </c>
      <c r="F1713">
        <v>198501</v>
      </c>
      <c r="G1713">
        <v>199012</v>
      </c>
      <c r="H1713">
        <v>88</v>
      </c>
      <c r="I1713">
        <v>120</v>
      </c>
      <c r="J1713">
        <v>1590</v>
      </c>
      <c r="K1713">
        <v>3837193</v>
      </c>
      <c r="L1713" t="s">
        <v>419</v>
      </c>
      <c r="M1713" t="str">
        <f>"ADB3242"</f>
        <v>ADB3242</v>
      </c>
      <c r="N1713" t="str">
        <f>"ADB3242"</f>
        <v>ADB3242</v>
      </c>
      <c r="O1713" t="str">
        <f>"21312, 21313, 21314"</f>
        <v>21312, 21313, 21314</v>
      </c>
      <c r="P1713" t="s">
        <v>664</v>
      </c>
      <c r="Q1713" t="str">
        <f>""</f>
        <v/>
      </c>
      <c r="R1713" t="s">
        <v>862</v>
      </c>
      <c r="T1713" s="1" t="s">
        <v>863</v>
      </c>
      <c r="U1713">
        <v>402</v>
      </c>
      <c r="V1713" t="s">
        <v>664</v>
      </c>
      <c r="W1713" t="s">
        <v>668</v>
      </c>
      <c r="X1713" t="s">
        <v>224</v>
      </c>
    </row>
    <row r="1714" spans="1:24">
      <c r="A1714">
        <v>13531</v>
      </c>
      <c r="B1714" t="s">
        <v>25</v>
      </c>
      <c r="C1714" t="str">
        <f t="shared" si="54"/>
        <v>INTEGRA Saloon</v>
      </c>
      <c r="D1714" t="str">
        <f t="shared" si="53"/>
        <v>1.6 i</v>
      </c>
      <c r="E1714" t="s">
        <v>26</v>
      </c>
      <c r="F1714">
        <v>198501</v>
      </c>
      <c r="G1714">
        <v>199012</v>
      </c>
      <c r="H1714">
        <v>88</v>
      </c>
      <c r="I1714">
        <v>120</v>
      </c>
      <c r="J1714">
        <v>1590</v>
      </c>
      <c r="K1714">
        <v>3839349</v>
      </c>
      <c r="L1714" t="s">
        <v>419</v>
      </c>
      <c r="M1714" t="str">
        <f>"CBP0242"</f>
        <v>CBP0242</v>
      </c>
      <c r="N1714" t="str">
        <f>"CBP0242"</f>
        <v>CBP0242</v>
      </c>
      <c r="O1714" t="str">
        <f>"2131212.5"</f>
        <v>2131212.5</v>
      </c>
      <c r="P1714" t="s">
        <v>664</v>
      </c>
      <c r="Q1714" t="str">
        <f>""</f>
        <v/>
      </c>
      <c r="R1714" t="s">
        <v>859</v>
      </c>
      <c r="T1714" s="1" t="s">
        <v>864</v>
      </c>
      <c r="U1714">
        <v>402</v>
      </c>
      <c r="V1714" t="s">
        <v>664</v>
      </c>
      <c r="W1714" t="s">
        <v>668</v>
      </c>
      <c r="X1714" t="s">
        <v>224</v>
      </c>
    </row>
    <row r="1715" spans="1:24">
      <c r="A1715">
        <v>13531</v>
      </c>
      <c r="B1715" t="s">
        <v>25</v>
      </c>
      <c r="C1715" t="str">
        <f t="shared" si="54"/>
        <v>INTEGRA Saloon</v>
      </c>
      <c r="D1715" t="str">
        <f t="shared" si="53"/>
        <v>1.6 i</v>
      </c>
      <c r="E1715" t="s">
        <v>26</v>
      </c>
      <c r="F1715">
        <v>198501</v>
      </c>
      <c r="G1715">
        <v>199012</v>
      </c>
      <c r="H1715">
        <v>88</v>
      </c>
      <c r="I1715">
        <v>120</v>
      </c>
      <c r="J1715">
        <v>1590</v>
      </c>
      <c r="K1715">
        <v>3839420</v>
      </c>
      <c r="L1715" t="s">
        <v>419</v>
      </c>
      <c r="M1715" t="str">
        <f>"CBP0460"</f>
        <v>CBP0460</v>
      </c>
      <c r="N1715" t="str">
        <f>"CBP0460"</f>
        <v>CBP0460</v>
      </c>
      <c r="O1715" t="str">
        <f>"21312"</f>
        <v>21312</v>
      </c>
      <c r="P1715" t="s">
        <v>664</v>
      </c>
      <c r="Q1715" t="str">
        <f>""</f>
        <v/>
      </c>
      <c r="R1715" t="s">
        <v>859</v>
      </c>
      <c r="T1715" s="1" t="s">
        <v>865</v>
      </c>
      <c r="U1715">
        <v>402</v>
      </c>
      <c r="V1715" t="s">
        <v>664</v>
      </c>
      <c r="W1715" t="s">
        <v>668</v>
      </c>
      <c r="X1715" t="s">
        <v>224</v>
      </c>
    </row>
    <row r="1716" spans="1:24">
      <c r="A1716">
        <v>13531</v>
      </c>
      <c r="B1716" t="s">
        <v>25</v>
      </c>
      <c r="C1716" t="str">
        <f t="shared" si="54"/>
        <v>INTEGRA Saloon</v>
      </c>
      <c r="D1716" t="str">
        <f t="shared" si="53"/>
        <v>1.6 i</v>
      </c>
      <c r="E1716" t="s">
        <v>26</v>
      </c>
      <c r="F1716">
        <v>198501</v>
      </c>
      <c r="G1716">
        <v>199012</v>
      </c>
      <c r="H1716">
        <v>88</v>
      </c>
      <c r="I1716">
        <v>120</v>
      </c>
      <c r="J1716">
        <v>1590</v>
      </c>
      <c r="K1716">
        <v>3840001</v>
      </c>
      <c r="L1716" t="s">
        <v>419</v>
      </c>
      <c r="M1716" t="str">
        <f>"CBP3242"</f>
        <v>CBP3242</v>
      </c>
      <c r="N1716" t="str">
        <f>"CBP3242"</f>
        <v>CBP3242</v>
      </c>
      <c r="O1716" t="str">
        <f>"21312, 21313, 21314"</f>
        <v>21312, 21313, 21314</v>
      </c>
      <c r="P1716" t="s">
        <v>664</v>
      </c>
      <c r="Q1716" t="str">
        <f>""</f>
        <v/>
      </c>
      <c r="R1716" t="s">
        <v>862</v>
      </c>
      <c r="T1716" s="1" t="s">
        <v>866</v>
      </c>
      <c r="U1716">
        <v>402</v>
      </c>
      <c r="V1716" t="s">
        <v>664</v>
      </c>
      <c r="W1716" t="s">
        <v>668</v>
      </c>
      <c r="X1716" t="s">
        <v>224</v>
      </c>
    </row>
    <row r="1717" spans="1:24">
      <c r="A1717">
        <v>13531</v>
      </c>
      <c r="B1717" t="s">
        <v>25</v>
      </c>
      <c r="C1717" t="str">
        <f t="shared" si="54"/>
        <v>INTEGRA Saloon</v>
      </c>
      <c r="D1717" t="str">
        <f t="shared" si="53"/>
        <v>1.6 i</v>
      </c>
      <c r="E1717" t="s">
        <v>26</v>
      </c>
      <c r="F1717">
        <v>198501</v>
      </c>
      <c r="G1717">
        <v>199012</v>
      </c>
      <c r="H1717">
        <v>88</v>
      </c>
      <c r="I1717">
        <v>120</v>
      </c>
      <c r="J1717">
        <v>1590</v>
      </c>
      <c r="K1717">
        <v>3963670</v>
      </c>
      <c r="L1717" t="s">
        <v>27</v>
      </c>
      <c r="M1717" t="str">
        <f>"H02605"</f>
        <v>H02605</v>
      </c>
      <c r="N1717" t="str">
        <f>"H026-05"</f>
        <v>H026-05</v>
      </c>
      <c r="O1717" t="str">
        <f>""</f>
        <v/>
      </c>
      <c r="P1717" t="s">
        <v>664</v>
      </c>
      <c r="Q1717" t="str">
        <f>"8718993205594"</f>
        <v>8718993205594</v>
      </c>
      <c r="R1717" t="s">
        <v>867</v>
      </c>
      <c r="T1717" s="1" t="s">
        <v>868</v>
      </c>
      <c r="U1717">
        <v>402</v>
      </c>
      <c r="V1717" t="s">
        <v>664</v>
      </c>
      <c r="W1717" t="s">
        <v>668</v>
      </c>
      <c r="X1717" t="s">
        <v>224</v>
      </c>
    </row>
    <row r="1718" spans="1:24">
      <c r="A1718">
        <v>13531</v>
      </c>
      <c r="B1718" t="s">
        <v>25</v>
      </c>
      <c r="C1718" t="str">
        <f t="shared" si="54"/>
        <v>INTEGRA Saloon</v>
      </c>
      <c r="D1718" t="str">
        <f t="shared" si="53"/>
        <v>1.6 i</v>
      </c>
      <c r="E1718" t="s">
        <v>26</v>
      </c>
      <c r="F1718">
        <v>198501</v>
      </c>
      <c r="G1718">
        <v>199012</v>
      </c>
      <c r="H1718">
        <v>88</v>
      </c>
      <c r="I1718">
        <v>120</v>
      </c>
      <c r="J1718">
        <v>1590</v>
      </c>
      <c r="K1718">
        <v>4050085</v>
      </c>
      <c r="L1718" t="s">
        <v>426</v>
      </c>
      <c r="M1718" t="str">
        <f>"6260073"</f>
        <v>6260073</v>
      </c>
      <c r="N1718" t="str">
        <f>"626.0073"</f>
        <v>626.0073</v>
      </c>
      <c r="O1718" t="str">
        <f>"20099"</f>
        <v>20099</v>
      </c>
      <c r="P1718" t="s">
        <v>664</v>
      </c>
      <c r="Q1718" t="str">
        <f>"8432509026441"</f>
        <v>8432509026441</v>
      </c>
      <c r="R1718" t="s">
        <v>869</v>
      </c>
      <c r="S1718" t="s">
        <v>310</v>
      </c>
      <c r="T1718" s="1" t="s">
        <v>870</v>
      </c>
      <c r="U1718">
        <v>402</v>
      </c>
      <c r="V1718" t="s">
        <v>664</v>
      </c>
      <c r="W1718" t="s">
        <v>668</v>
      </c>
      <c r="X1718" t="s">
        <v>224</v>
      </c>
    </row>
    <row r="1719" spans="1:24">
      <c r="A1719">
        <v>13531</v>
      </c>
      <c r="B1719" t="s">
        <v>25</v>
      </c>
      <c r="C1719" t="str">
        <f t="shared" si="54"/>
        <v>INTEGRA Saloon</v>
      </c>
      <c r="D1719" t="str">
        <f t="shared" ref="D1719:D1782" si="55">"1.6 i"</f>
        <v>1.6 i</v>
      </c>
      <c r="E1719" t="s">
        <v>26</v>
      </c>
      <c r="F1719">
        <v>198501</v>
      </c>
      <c r="G1719">
        <v>199012</v>
      </c>
      <c r="H1719">
        <v>88</v>
      </c>
      <c r="I1719">
        <v>120</v>
      </c>
      <c r="J1719">
        <v>1590</v>
      </c>
      <c r="K1719">
        <v>4050354</v>
      </c>
      <c r="L1719" t="s">
        <v>426</v>
      </c>
      <c r="M1719" t="str">
        <f>"6260506"</f>
        <v>6260506</v>
      </c>
      <c r="N1719" t="str">
        <f>"626.0506"</f>
        <v>626.0506</v>
      </c>
      <c r="O1719" t="str">
        <f>"21312"</f>
        <v>21312</v>
      </c>
      <c r="P1719" t="s">
        <v>664</v>
      </c>
      <c r="Q1719" t="str">
        <f>"8432509030196"</f>
        <v>8432509030196</v>
      </c>
      <c r="R1719" t="s">
        <v>871</v>
      </c>
      <c r="S1719" t="s">
        <v>221</v>
      </c>
      <c r="T1719" s="1" t="s">
        <v>872</v>
      </c>
      <c r="U1719">
        <v>402</v>
      </c>
      <c r="V1719" t="s">
        <v>664</v>
      </c>
      <c r="W1719" t="s">
        <v>668</v>
      </c>
      <c r="X1719" t="s">
        <v>224</v>
      </c>
    </row>
    <row r="1720" spans="1:24">
      <c r="A1720">
        <v>13531</v>
      </c>
      <c r="B1720" t="s">
        <v>25</v>
      </c>
      <c r="C1720" t="str">
        <f t="shared" si="54"/>
        <v>INTEGRA Saloon</v>
      </c>
      <c r="D1720" t="str">
        <f t="shared" si="55"/>
        <v>1.6 i</v>
      </c>
      <c r="E1720" t="s">
        <v>26</v>
      </c>
      <c r="F1720">
        <v>198501</v>
      </c>
      <c r="G1720">
        <v>199012</v>
      </c>
      <c r="H1720">
        <v>88</v>
      </c>
      <c r="I1720">
        <v>120</v>
      </c>
      <c r="J1720">
        <v>1590</v>
      </c>
      <c r="K1720">
        <v>4087208</v>
      </c>
      <c r="L1720" t="s">
        <v>252</v>
      </c>
      <c r="M1720" t="str">
        <f>"4311"</f>
        <v>4311</v>
      </c>
      <c r="N1720" t="str">
        <f>"431.1"</f>
        <v>431.1</v>
      </c>
      <c r="O1720" t="str">
        <f>"21448"</f>
        <v>21448</v>
      </c>
      <c r="P1720" t="s">
        <v>664</v>
      </c>
      <c r="Q1720" t="str">
        <f>"8016431043112"</f>
        <v>8016431043112</v>
      </c>
      <c r="R1720" s="1" t="s">
        <v>873</v>
      </c>
      <c r="T1720" s="1" t="s">
        <v>874</v>
      </c>
      <c r="U1720">
        <v>402</v>
      </c>
      <c r="V1720" t="s">
        <v>664</v>
      </c>
      <c r="W1720" t="s">
        <v>668</v>
      </c>
      <c r="X1720" t="s">
        <v>224</v>
      </c>
    </row>
    <row r="1721" spans="1:24">
      <c r="A1721">
        <v>13531</v>
      </c>
      <c r="B1721" t="s">
        <v>25</v>
      </c>
      <c r="C1721" t="str">
        <f t="shared" si="54"/>
        <v>INTEGRA Saloon</v>
      </c>
      <c r="D1721" t="str">
        <f t="shared" si="55"/>
        <v>1.6 i</v>
      </c>
      <c r="E1721" t="s">
        <v>26</v>
      </c>
      <c r="F1721">
        <v>198501</v>
      </c>
      <c r="G1721">
        <v>199012</v>
      </c>
      <c r="H1721">
        <v>88</v>
      </c>
      <c r="I1721">
        <v>120</v>
      </c>
      <c r="J1721">
        <v>1590</v>
      </c>
      <c r="K1721">
        <v>4087472</v>
      </c>
      <c r="L1721" t="s">
        <v>252</v>
      </c>
      <c r="M1721" t="str">
        <f>"6611"</f>
        <v>6611</v>
      </c>
      <c r="N1721" t="str">
        <f>"661.1"</f>
        <v>661.1</v>
      </c>
      <c r="O1721" t="str">
        <f>"20108"</f>
        <v>20108</v>
      </c>
      <c r="P1721" t="s">
        <v>664</v>
      </c>
      <c r="Q1721" t="str">
        <f>"8016431066111"</f>
        <v>8016431066111</v>
      </c>
      <c r="R1721" s="1" t="s">
        <v>875</v>
      </c>
      <c r="T1721" s="1" t="s">
        <v>876</v>
      </c>
      <c r="U1721">
        <v>402</v>
      </c>
      <c r="V1721" t="s">
        <v>664</v>
      </c>
      <c r="W1721" t="s">
        <v>668</v>
      </c>
      <c r="X1721" t="s">
        <v>224</v>
      </c>
    </row>
    <row r="1722" spans="1:24">
      <c r="A1722">
        <v>13531</v>
      </c>
      <c r="B1722" t="s">
        <v>25</v>
      </c>
      <c r="C1722" t="str">
        <f t="shared" si="54"/>
        <v>INTEGRA Saloon</v>
      </c>
      <c r="D1722" t="str">
        <f t="shared" si="55"/>
        <v>1.6 i</v>
      </c>
      <c r="E1722" t="s">
        <v>26</v>
      </c>
      <c r="F1722">
        <v>198501</v>
      </c>
      <c r="G1722">
        <v>199012</v>
      </c>
      <c r="H1722">
        <v>88</v>
      </c>
      <c r="I1722">
        <v>120</v>
      </c>
      <c r="J1722">
        <v>1590</v>
      </c>
      <c r="K1722">
        <v>4093250</v>
      </c>
      <c r="L1722" t="s">
        <v>877</v>
      </c>
      <c r="M1722" t="str">
        <f>"DFB5215"</f>
        <v>DFB5215</v>
      </c>
      <c r="N1722" t="str">
        <f>"DFB5215"</f>
        <v>DFB5215</v>
      </c>
      <c r="O1722" t="str">
        <f>""</f>
        <v/>
      </c>
      <c r="P1722" t="s">
        <v>664</v>
      </c>
      <c r="Q1722" t="str">
        <f>""</f>
        <v/>
      </c>
      <c r="R1722" t="s">
        <v>878</v>
      </c>
      <c r="S1722" t="s">
        <v>675</v>
      </c>
      <c r="T1722" s="1" t="s">
        <v>879</v>
      </c>
      <c r="U1722">
        <v>402</v>
      </c>
      <c r="V1722" t="s">
        <v>664</v>
      </c>
      <c r="W1722" t="s">
        <v>668</v>
      </c>
      <c r="X1722" t="s">
        <v>224</v>
      </c>
    </row>
    <row r="1723" spans="1:24">
      <c r="A1723">
        <v>13531</v>
      </c>
      <c r="B1723" t="s">
        <v>25</v>
      </c>
      <c r="C1723" t="str">
        <f t="shared" si="54"/>
        <v>INTEGRA Saloon</v>
      </c>
      <c r="D1723" t="str">
        <f t="shared" si="55"/>
        <v>1.6 i</v>
      </c>
      <c r="E1723" t="s">
        <v>26</v>
      </c>
      <c r="F1723">
        <v>198501</v>
      </c>
      <c r="G1723">
        <v>199012</v>
      </c>
      <c r="H1723">
        <v>88</v>
      </c>
      <c r="I1723">
        <v>120</v>
      </c>
      <c r="J1723">
        <v>1590</v>
      </c>
      <c r="K1723">
        <v>4159416</v>
      </c>
      <c r="L1723" t="s">
        <v>880</v>
      </c>
      <c r="M1723" t="str">
        <f>"1511027"</f>
        <v>1511027</v>
      </c>
      <c r="N1723" t="str">
        <f>"151-1027"</f>
        <v>151-1027</v>
      </c>
      <c r="O1723" t="str">
        <f>"21313"</f>
        <v>21313</v>
      </c>
      <c r="P1723" t="s">
        <v>664</v>
      </c>
      <c r="Q1723" t="str">
        <f>""</f>
        <v/>
      </c>
      <c r="R1723" t="s">
        <v>881</v>
      </c>
      <c r="S1723" t="s">
        <v>675</v>
      </c>
      <c r="T1723" s="1" t="s">
        <v>1406</v>
      </c>
      <c r="U1723">
        <v>402</v>
      </c>
      <c r="V1723" t="s">
        <v>664</v>
      </c>
      <c r="W1723" t="s">
        <v>668</v>
      </c>
      <c r="X1723" t="s">
        <v>224</v>
      </c>
    </row>
    <row r="1724" spans="1:24">
      <c r="A1724">
        <v>13531</v>
      </c>
      <c r="B1724" t="s">
        <v>25</v>
      </c>
      <c r="C1724" t="str">
        <f t="shared" si="54"/>
        <v>INTEGRA Saloon</v>
      </c>
      <c r="D1724" t="str">
        <f t="shared" si="55"/>
        <v>1.6 i</v>
      </c>
      <c r="E1724" t="s">
        <v>26</v>
      </c>
      <c r="F1724">
        <v>198501</v>
      </c>
      <c r="G1724">
        <v>199012</v>
      </c>
      <c r="H1724">
        <v>88</v>
      </c>
      <c r="I1724">
        <v>120</v>
      </c>
      <c r="J1724">
        <v>1590</v>
      </c>
      <c r="K1724">
        <v>4159878</v>
      </c>
      <c r="L1724" t="s">
        <v>880</v>
      </c>
      <c r="M1724" t="str">
        <f>"1511513"</f>
        <v>1511513</v>
      </c>
      <c r="N1724" t="str">
        <f>"151-1513"</f>
        <v>151-1513</v>
      </c>
      <c r="O1724" t="str">
        <f>"20104"</f>
        <v>20104</v>
      </c>
      <c r="P1724" t="s">
        <v>664</v>
      </c>
      <c r="Q1724" t="str">
        <f>""</f>
        <v/>
      </c>
      <c r="R1724" t="s">
        <v>883</v>
      </c>
      <c r="S1724" t="s">
        <v>316</v>
      </c>
      <c r="T1724" s="1" t="s">
        <v>884</v>
      </c>
      <c r="U1724">
        <v>402</v>
      </c>
      <c r="V1724" t="s">
        <v>664</v>
      </c>
      <c r="W1724" t="s">
        <v>668</v>
      </c>
      <c r="X1724" t="s">
        <v>224</v>
      </c>
    </row>
    <row r="1725" spans="1:24">
      <c r="A1725">
        <v>13531</v>
      </c>
      <c r="B1725" t="s">
        <v>25</v>
      </c>
      <c r="C1725" t="str">
        <f t="shared" si="54"/>
        <v>INTEGRA Saloon</v>
      </c>
      <c r="D1725" t="str">
        <f t="shared" si="55"/>
        <v>1.6 i</v>
      </c>
      <c r="E1725" t="s">
        <v>26</v>
      </c>
      <c r="F1725">
        <v>198501</v>
      </c>
      <c r="G1725">
        <v>199012</v>
      </c>
      <c r="H1725">
        <v>88</v>
      </c>
      <c r="I1725">
        <v>120</v>
      </c>
      <c r="J1725">
        <v>1590</v>
      </c>
      <c r="K1725">
        <v>4160423</v>
      </c>
      <c r="L1725" t="s">
        <v>880</v>
      </c>
      <c r="M1725" t="str">
        <f>"1512103"</f>
        <v>1512103</v>
      </c>
      <c r="N1725" t="str">
        <f>"151-2103"</f>
        <v>151-2103</v>
      </c>
      <c r="O1725" t="str">
        <f>"21447"</f>
        <v>21447</v>
      </c>
      <c r="P1725" t="s">
        <v>664</v>
      </c>
      <c r="Q1725" t="str">
        <f>""</f>
        <v/>
      </c>
      <c r="R1725" t="s">
        <v>885</v>
      </c>
      <c r="S1725" t="s">
        <v>678</v>
      </c>
      <c r="T1725" s="1" t="s">
        <v>886</v>
      </c>
      <c r="U1725">
        <v>402</v>
      </c>
      <c r="V1725" t="s">
        <v>664</v>
      </c>
      <c r="W1725" t="s">
        <v>668</v>
      </c>
      <c r="X1725" t="s">
        <v>224</v>
      </c>
    </row>
    <row r="1726" spans="1:24">
      <c r="A1726">
        <v>13531</v>
      </c>
      <c r="B1726" t="s">
        <v>25</v>
      </c>
      <c r="C1726" t="str">
        <f t="shared" si="54"/>
        <v>INTEGRA Saloon</v>
      </c>
      <c r="D1726" t="str">
        <f t="shared" si="55"/>
        <v>1.6 i</v>
      </c>
      <c r="E1726" t="s">
        <v>26</v>
      </c>
      <c r="F1726">
        <v>198501</v>
      </c>
      <c r="G1726">
        <v>199012</v>
      </c>
      <c r="H1726">
        <v>88</v>
      </c>
      <c r="I1726">
        <v>120</v>
      </c>
      <c r="J1726">
        <v>1590</v>
      </c>
      <c r="K1726">
        <v>4198299</v>
      </c>
      <c r="L1726" t="s">
        <v>255</v>
      </c>
      <c r="M1726" t="str">
        <f>"C14026ABE"</f>
        <v>C14026ABE</v>
      </c>
      <c r="N1726" t="str">
        <f>"C14026ABE"</f>
        <v>C14026ABE</v>
      </c>
      <c r="O1726" t="str">
        <f>""</f>
        <v/>
      </c>
      <c r="P1726" t="s">
        <v>664</v>
      </c>
      <c r="Q1726" t="str">
        <f>""</f>
        <v/>
      </c>
      <c r="R1726" t="s">
        <v>887</v>
      </c>
      <c r="S1726" t="s">
        <v>888</v>
      </c>
      <c r="T1726" s="1" t="s">
        <v>889</v>
      </c>
      <c r="U1726">
        <v>402</v>
      </c>
      <c r="V1726" t="s">
        <v>664</v>
      </c>
      <c r="W1726" t="s">
        <v>668</v>
      </c>
      <c r="X1726" t="s">
        <v>224</v>
      </c>
    </row>
    <row r="1727" spans="1:24">
      <c r="A1727">
        <v>13531</v>
      </c>
      <c r="B1727" t="s">
        <v>25</v>
      </c>
      <c r="C1727" t="str">
        <f t="shared" si="54"/>
        <v>INTEGRA Saloon</v>
      </c>
      <c r="D1727" t="str">
        <f t="shared" si="55"/>
        <v>1.6 i</v>
      </c>
      <c r="E1727" t="s">
        <v>26</v>
      </c>
      <c r="F1727">
        <v>198501</v>
      </c>
      <c r="G1727">
        <v>199012</v>
      </c>
      <c r="H1727">
        <v>88</v>
      </c>
      <c r="I1727">
        <v>120</v>
      </c>
      <c r="J1727">
        <v>1590</v>
      </c>
      <c r="K1727">
        <v>4198817</v>
      </c>
      <c r="L1727" t="s">
        <v>255</v>
      </c>
      <c r="M1727" t="str">
        <f>"C24002ABE"</f>
        <v>C24002ABE</v>
      </c>
      <c r="N1727" t="str">
        <f>"C24002ABE"</f>
        <v>C24002ABE</v>
      </c>
      <c r="O1727" t="str">
        <f>""</f>
        <v/>
      </c>
      <c r="P1727" t="s">
        <v>664</v>
      </c>
      <c r="Q1727" t="str">
        <f>""</f>
        <v/>
      </c>
      <c r="R1727" t="s">
        <v>890</v>
      </c>
      <c r="S1727" t="s">
        <v>696</v>
      </c>
      <c r="T1727" s="1" t="s">
        <v>891</v>
      </c>
      <c r="U1727">
        <v>402</v>
      </c>
      <c r="V1727" t="s">
        <v>664</v>
      </c>
      <c r="W1727" t="s">
        <v>668</v>
      </c>
      <c r="X1727" t="s">
        <v>224</v>
      </c>
    </row>
    <row r="1728" spans="1:24">
      <c r="A1728">
        <v>13531</v>
      </c>
      <c r="B1728" t="s">
        <v>25</v>
      </c>
      <c r="C1728" t="str">
        <f t="shared" si="54"/>
        <v>INTEGRA Saloon</v>
      </c>
      <c r="D1728" t="str">
        <f t="shared" si="55"/>
        <v>1.6 i</v>
      </c>
      <c r="E1728" t="s">
        <v>26</v>
      </c>
      <c r="F1728">
        <v>198501</v>
      </c>
      <c r="G1728">
        <v>199012</v>
      </c>
      <c r="H1728">
        <v>88</v>
      </c>
      <c r="I1728">
        <v>120</v>
      </c>
      <c r="J1728">
        <v>1590</v>
      </c>
      <c r="K1728">
        <v>4270563</v>
      </c>
      <c r="L1728" t="s">
        <v>436</v>
      </c>
      <c r="M1728" t="str">
        <f>"BP1216"</f>
        <v>BP1216</v>
      </c>
      <c r="N1728" t="str">
        <f>"BP1216"</f>
        <v>BP1216</v>
      </c>
      <c r="O1728" t="str">
        <f>""</f>
        <v/>
      </c>
      <c r="P1728" t="s">
        <v>664</v>
      </c>
      <c r="Q1728" t="str">
        <f>""</f>
        <v/>
      </c>
      <c r="R1728" t="s">
        <v>892</v>
      </c>
      <c r="T1728" s="1" t="s">
        <v>893</v>
      </c>
      <c r="U1728">
        <v>402</v>
      </c>
      <c r="V1728" t="s">
        <v>664</v>
      </c>
      <c r="W1728" t="s">
        <v>668</v>
      </c>
      <c r="X1728" t="s">
        <v>224</v>
      </c>
    </row>
    <row r="1729" spans="1:24">
      <c r="A1729">
        <v>13531</v>
      </c>
      <c r="B1729" t="s">
        <v>25</v>
      </c>
      <c r="C1729" t="str">
        <f t="shared" si="54"/>
        <v>INTEGRA Saloon</v>
      </c>
      <c r="D1729" t="str">
        <f t="shared" si="55"/>
        <v>1.6 i</v>
      </c>
      <c r="E1729" t="s">
        <v>26</v>
      </c>
      <c r="F1729">
        <v>198501</v>
      </c>
      <c r="G1729">
        <v>199012</v>
      </c>
      <c r="H1729">
        <v>88</v>
      </c>
      <c r="I1729">
        <v>120</v>
      </c>
      <c r="J1729">
        <v>1590</v>
      </c>
      <c r="K1729">
        <v>4270571</v>
      </c>
      <c r="L1729" t="s">
        <v>436</v>
      </c>
      <c r="M1729" t="str">
        <f>"BP1226"</f>
        <v>BP1226</v>
      </c>
      <c r="N1729" t="str">
        <f>"BP1226"</f>
        <v>BP1226</v>
      </c>
      <c r="O1729" t="str">
        <f>""</f>
        <v/>
      </c>
      <c r="P1729" t="s">
        <v>664</v>
      </c>
      <c r="Q1729" t="str">
        <f>""</f>
        <v/>
      </c>
      <c r="R1729" t="s">
        <v>894</v>
      </c>
      <c r="T1729" s="1" t="s">
        <v>895</v>
      </c>
      <c r="U1729">
        <v>402</v>
      </c>
      <c r="V1729" t="s">
        <v>664</v>
      </c>
      <c r="W1729" t="s">
        <v>668</v>
      </c>
      <c r="X1729" t="s">
        <v>224</v>
      </c>
    </row>
    <row r="1730" spans="1:24">
      <c r="A1730">
        <v>13531</v>
      </c>
      <c r="B1730" t="s">
        <v>25</v>
      </c>
      <c r="C1730" t="str">
        <f t="shared" ref="C1730:C1793" si="56">"INTEGRA Saloon"</f>
        <v>INTEGRA Saloon</v>
      </c>
      <c r="D1730" t="str">
        <f t="shared" si="55"/>
        <v>1.6 i</v>
      </c>
      <c r="E1730" t="s">
        <v>26</v>
      </c>
      <c r="F1730">
        <v>198501</v>
      </c>
      <c r="G1730">
        <v>199012</v>
      </c>
      <c r="H1730">
        <v>88</v>
      </c>
      <c r="I1730">
        <v>120</v>
      </c>
      <c r="J1730">
        <v>1590</v>
      </c>
      <c r="K1730">
        <v>4270593</v>
      </c>
      <c r="L1730" t="s">
        <v>436</v>
      </c>
      <c r="M1730" t="str">
        <f>"BP1252"</f>
        <v>BP1252</v>
      </c>
      <c r="N1730" t="str">
        <f>"BP1252"</f>
        <v>BP1252</v>
      </c>
      <c r="O1730" t="str">
        <f>""</f>
        <v/>
      </c>
      <c r="P1730" t="s">
        <v>664</v>
      </c>
      <c r="Q1730" t="str">
        <f>""</f>
        <v/>
      </c>
      <c r="R1730" t="s">
        <v>896</v>
      </c>
      <c r="T1730" s="1" t="s">
        <v>897</v>
      </c>
      <c r="U1730">
        <v>402</v>
      </c>
      <c r="V1730" t="s">
        <v>664</v>
      </c>
      <c r="W1730" t="s">
        <v>668</v>
      </c>
      <c r="X1730" t="s">
        <v>224</v>
      </c>
    </row>
    <row r="1731" spans="1:24">
      <c r="A1731">
        <v>13531</v>
      </c>
      <c r="B1731" t="s">
        <v>25</v>
      </c>
      <c r="C1731" t="str">
        <f t="shared" si="56"/>
        <v>INTEGRA Saloon</v>
      </c>
      <c r="D1731" t="str">
        <f t="shared" si="55"/>
        <v>1.6 i</v>
      </c>
      <c r="E1731" t="s">
        <v>26</v>
      </c>
      <c r="F1731">
        <v>198501</v>
      </c>
      <c r="G1731">
        <v>199012</v>
      </c>
      <c r="H1731">
        <v>88</v>
      </c>
      <c r="I1731">
        <v>120</v>
      </c>
      <c r="J1731">
        <v>1590</v>
      </c>
      <c r="K1731">
        <v>4277656</v>
      </c>
      <c r="L1731" t="s">
        <v>129</v>
      </c>
      <c r="M1731" t="str">
        <f>"18500058017"</f>
        <v>18500058017</v>
      </c>
      <c r="N1731" t="str">
        <f>"1850.0058017"</f>
        <v>1850.0058017</v>
      </c>
      <c r="O1731" t="str">
        <f>"23237"</f>
        <v>23237</v>
      </c>
      <c r="P1731" t="s">
        <v>664</v>
      </c>
      <c r="Q1731" t="str">
        <f>"8421779532233"</f>
        <v>8421779532233</v>
      </c>
      <c r="R1731" t="s">
        <v>898</v>
      </c>
      <c r="T1731" t="s">
        <v>899</v>
      </c>
      <c r="U1731">
        <v>402</v>
      </c>
      <c r="V1731" t="s">
        <v>664</v>
      </c>
      <c r="W1731" t="s">
        <v>668</v>
      </c>
      <c r="X1731" t="s">
        <v>224</v>
      </c>
    </row>
    <row r="1732" spans="1:24">
      <c r="A1732">
        <v>13531</v>
      </c>
      <c r="B1732" t="s">
        <v>25</v>
      </c>
      <c r="C1732" t="str">
        <f t="shared" si="56"/>
        <v>INTEGRA Saloon</v>
      </c>
      <c r="D1732" t="str">
        <f t="shared" si="55"/>
        <v>1.6 i</v>
      </c>
      <c r="E1732" t="s">
        <v>26</v>
      </c>
      <c r="F1732">
        <v>198501</v>
      </c>
      <c r="G1732">
        <v>199012</v>
      </c>
      <c r="H1732">
        <v>88</v>
      </c>
      <c r="I1732">
        <v>120</v>
      </c>
      <c r="J1732">
        <v>1590</v>
      </c>
      <c r="K1732">
        <v>4277701</v>
      </c>
      <c r="L1732" t="s">
        <v>129</v>
      </c>
      <c r="M1732" t="str">
        <f>"18500058062"</f>
        <v>18500058062</v>
      </c>
      <c r="N1732" t="str">
        <f>"1850.0058062"</f>
        <v>1850.0058062</v>
      </c>
      <c r="O1732" t="str">
        <f>"21312"</f>
        <v>21312</v>
      </c>
      <c r="P1732" t="s">
        <v>664</v>
      </c>
      <c r="Q1732" t="str">
        <f>"8421779532684"</f>
        <v>8421779532684</v>
      </c>
      <c r="R1732" t="s">
        <v>900</v>
      </c>
      <c r="T1732" t="s">
        <v>901</v>
      </c>
      <c r="U1732">
        <v>402</v>
      </c>
      <c r="V1732" t="s">
        <v>664</v>
      </c>
      <c r="W1732" t="s">
        <v>668</v>
      </c>
      <c r="X1732" t="s">
        <v>224</v>
      </c>
    </row>
    <row r="1733" spans="1:24">
      <c r="A1733">
        <v>13531</v>
      </c>
      <c r="B1733" t="s">
        <v>25</v>
      </c>
      <c r="C1733" t="str">
        <f t="shared" si="56"/>
        <v>INTEGRA Saloon</v>
      </c>
      <c r="D1733" t="str">
        <f t="shared" si="55"/>
        <v>1.6 i</v>
      </c>
      <c r="E1733" t="s">
        <v>26</v>
      </c>
      <c r="F1733">
        <v>198501</v>
      </c>
      <c r="G1733">
        <v>199012</v>
      </c>
      <c r="H1733">
        <v>88</v>
      </c>
      <c r="I1733">
        <v>120</v>
      </c>
      <c r="J1733">
        <v>1590</v>
      </c>
      <c r="K1733">
        <v>4391036</v>
      </c>
      <c r="L1733" t="s">
        <v>507</v>
      </c>
      <c r="M1733" t="str">
        <f>"657010BSX"</f>
        <v>657010BSX</v>
      </c>
      <c r="N1733" t="str">
        <f>"657 010B-SX"</f>
        <v>657 010B-SX</v>
      </c>
      <c r="O1733" t="str">
        <f>"PCA064610"</f>
        <v>PCA064610</v>
      </c>
      <c r="P1733" t="s">
        <v>664</v>
      </c>
      <c r="Q1733" t="str">
        <f>""</f>
        <v/>
      </c>
      <c r="R1733" t="s">
        <v>902</v>
      </c>
      <c r="T1733" t="s">
        <v>903</v>
      </c>
      <c r="U1733">
        <v>402</v>
      </c>
      <c r="V1733" t="s">
        <v>664</v>
      </c>
      <c r="W1733" t="s">
        <v>668</v>
      </c>
      <c r="X1733" t="s">
        <v>224</v>
      </c>
    </row>
    <row r="1734" spans="1:24">
      <c r="A1734">
        <v>13531</v>
      </c>
      <c r="B1734" t="s">
        <v>25</v>
      </c>
      <c r="C1734" t="str">
        <f t="shared" si="56"/>
        <v>INTEGRA Saloon</v>
      </c>
      <c r="D1734" t="str">
        <f t="shared" si="55"/>
        <v>1.6 i</v>
      </c>
      <c r="E1734" t="s">
        <v>26</v>
      </c>
      <c r="F1734">
        <v>198501</v>
      </c>
      <c r="G1734">
        <v>199012</v>
      </c>
      <c r="H1734">
        <v>88</v>
      </c>
      <c r="I1734">
        <v>120</v>
      </c>
      <c r="J1734">
        <v>1590</v>
      </c>
      <c r="K1734">
        <v>4416298</v>
      </c>
      <c r="L1734" t="s">
        <v>193</v>
      </c>
      <c r="M1734" t="str">
        <f>"BD3428"</f>
        <v>BD3428</v>
      </c>
      <c r="N1734" t="str">
        <f>"BD-3428"</f>
        <v>BD-3428</v>
      </c>
      <c r="O1734" t="str">
        <f>""</f>
        <v/>
      </c>
      <c r="P1734" t="s">
        <v>664</v>
      </c>
      <c r="Q1734" t="str">
        <f>"4905601063200"</f>
        <v>4905601063200</v>
      </c>
      <c r="R1734" t="s">
        <v>904</v>
      </c>
      <c r="S1734" t="s">
        <v>905</v>
      </c>
      <c r="T1734" s="1" t="s">
        <v>906</v>
      </c>
      <c r="U1734">
        <v>402</v>
      </c>
      <c r="V1734" t="s">
        <v>664</v>
      </c>
      <c r="W1734" t="s">
        <v>668</v>
      </c>
      <c r="X1734" t="s">
        <v>224</v>
      </c>
    </row>
    <row r="1735" spans="1:24">
      <c r="A1735">
        <v>13531</v>
      </c>
      <c r="B1735" t="s">
        <v>25</v>
      </c>
      <c r="C1735" t="str">
        <f t="shared" si="56"/>
        <v>INTEGRA Saloon</v>
      </c>
      <c r="D1735" t="str">
        <f t="shared" si="55"/>
        <v>1.6 i</v>
      </c>
      <c r="E1735" t="s">
        <v>26</v>
      </c>
      <c r="F1735">
        <v>198501</v>
      </c>
      <c r="G1735">
        <v>199012</v>
      </c>
      <c r="H1735">
        <v>88</v>
      </c>
      <c r="I1735">
        <v>120</v>
      </c>
      <c r="J1735">
        <v>1590</v>
      </c>
      <c r="K1735">
        <v>4416299</v>
      </c>
      <c r="L1735" t="s">
        <v>193</v>
      </c>
      <c r="M1735" t="str">
        <f>"BD3429"</f>
        <v>BD3429</v>
      </c>
      <c r="N1735" t="str">
        <f>"BD-3429"</f>
        <v>BD-3429</v>
      </c>
      <c r="O1735" t="str">
        <f>""</f>
        <v/>
      </c>
      <c r="P1735" t="s">
        <v>664</v>
      </c>
      <c r="Q1735" t="str">
        <f>""</f>
        <v/>
      </c>
      <c r="R1735" t="s">
        <v>907</v>
      </c>
      <c r="S1735" t="s">
        <v>287</v>
      </c>
      <c r="T1735" s="1" t="s">
        <v>908</v>
      </c>
      <c r="U1735">
        <v>402</v>
      </c>
      <c r="V1735" t="s">
        <v>664</v>
      </c>
      <c r="W1735" t="s">
        <v>668</v>
      </c>
      <c r="X1735" t="s">
        <v>224</v>
      </c>
    </row>
    <row r="1736" spans="1:24">
      <c r="A1736">
        <v>13531</v>
      </c>
      <c r="B1736" t="s">
        <v>25</v>
      </c>
      <c r="C1736" t="str">
        <f t="shared" si="56"/>
        <v>INTEGRA Saloon</v>
      </c>
      <c r="D1736" t="str">
        <f t="shared" si="55"/>
        <v>1.6 i</v>
      </c>
      <c r="E1736" t="s">
        <v>26</v>
      </c>
      <c r="F1736">
        <v>198501</v>
      </c>
      <c r="G1736">
        <v>199012</v>
      </c>
      <c r="H1736">
        <v>88</v>
      </c>
      <c r="I1736">
        <v>120</v>
      </c>
      <c r="J1736">
        <v>1590</v>
      </c>
      <c r="K1736">
        <v>4474272</v>
      </c>
      <c r="L1736" t="s">
        <v>909</v>
      </c>
      <c r="M1736" t="str">
        <f>"8DB355005731"</f>
        <v>8DB355005731</v>
      </c>
      <c r="N1736" t="str">
        <f>"8DB 355 005-731"</f>
        <v>8DB 355 005-731</v>
      </c>
      <c r="O1736" t="str">
        <f>"T0034"</f>
        <v>T0034</v>
      </c>
      <c r="P1736" t="s">
        <v>664</v>
      </c>
      <c r="Q1736" t="str">
        <f>"4082300350043"</f>
        <v>4082300350043</v>
      </c>
      <c r="R1736" t="s">
        <v>691</v>
      </c>
      <c r="S1736" t="s">
        <v>221</v>
      </c>
      <c r="T1736" s="1" t="s">
        <v>692</v>
      </c>
      <c r="U1736">
        <v>402</v>
      </c>
      <c r="V1736" t="s">
        <v>664</v>
      </c>
      <c r="W1736" t="s">
        <v>668</v>
      </c>
      <c r="X1736" t="s">
        <v>224</v>
      </c>
    </row>
    <row r="1737" spans="1:24">
      <c r="A1737">
        <v>13531</v>
      </c>
      <c r="B1737" t="s">
        <v>25</v>
      </c>
      <c r="C1737" t="str">
        <f t="shared" si="56"/>
        <v>INTEGRA Saloon</v>
      </c>
      <c r="D1737" t="str">
        <f t="shared" si="55"/>
        <v>1.6 i</v>
      </c>
      <c r="E1737" t="s">
        <v>26</v>
      </c>
      <c r="F1737">
        <v>198501</v>
      </c>
      <c r="G1737">
        <v>199012</v>
      </c>
      <c r="H1737">
        <v>88</v>
      </c>
      <c r="I1737">
        <v>120</v>
      </c>
      <c r="J1737">
        <v>1590</v>
      </c>
      <c r="K1737">
        <v>4474325</v>
      </c>
      <c r="L1737" t="s">
        <v>909</v>
      </c>
      <c r="M1737" t="str">
        <f>"8DB355006261"</f>
        <v>8DB355006261</v>
      </c>
      <c r="N1737" t="str">
        <f>"8DB 355 006-261"</f>
        <v>8DB 355 006-261</v>
      </c>
      <c r="O1737" t="str">
        <f>"T0365"</f>
        <v>T0365</v>
      </c>
      <c r="P1737" t="s">
        <v>664</v>
      </c>
      <c r="Q1737" t="str">
        <f>"4082300350579"</f>
        <v>4082300350579</v>
      </c>
      <c r="R1737" t="s">
        <v>693</v>
      </c>
      <c r="S1737" t="s">
        <v>310</v>
      </c>
      <c r="T1737" s="1" t="s">
        <v>694</v>
      </c>
      <c r="U1737">
        <v>402</v>
      </c>
      <c r="V1737" t="s">
        <v>664</v>
      </c>
      <c r="W1737" t="s">
        <v>668</v>
      </c>
      <c r="X1737" t="s">
        <v>224</v>
      </c>
    </row>
    <row r="1738" spans="1:24">
      <c r="A1738">
        <v>13531</v>
      </c>
      <c r="B1738" t="s">
        <v>25</v>
      </c>
      <c r="C1738" t="str">
        <f t="shared" si="56"/>
        <v>INTEGRA Saloon</v>
      </c>
      <c r="D1738" t="str">
        <f t="shared" si="55"/>
        <v>1.6 i</v>
      </c>
      <c r="E1738" t="s">
        <v>26</v>
      </c>
      <c r="F1738">
        <v>198501</v>
      </c>
      <c r="G1738">
        <v>199012</v>
      </c>
      <c r="H1738">
        <v>88</v>
      </c>
      <c r="I1738">
        <v>120</v>
      </c>
      <c r="J1738">
        <v>1590</v>
      </c>
      <c r="K1738">
        <v>4541905</v>
      </c>
      <c r="L1738" t="s">
        <v>910</v>
      </c>
      <c r="M1738" t="str">
        <f>"PF1532"</f>
        <v>PF1532</v>
      </c>
      <c r="N1738" t="str">
        <f>"PF1532"</f>
        <v>PF1532</v>
      </c>
      <c r="O1738" t="str">
        <f>""</f>
        <v/>
      </c>
      <c r="P1738" t="s">
        <v>664</v>
      </c>
      <c r="Q1738" t="str">
        <f>""</f>
        <v/>
      </c>
      <c r="R1738" t="s">
        <v>911</v>
      </c>
      <c r="S1738" t="s">
        <v>675</v>
      </c>
      <c r="T1738" s="1" t="s">
        <v>912</v>
      </c>
      <c r="U1738">
        <v>402</v>
      </c>
      <c r="V1738" t="s">
        <v>664</v>
      </c>
      <c r="W1738" t="s">
        <v>668</v>
      </c>
      <c r="X1738" t="s">
        <v>224</v>
      </c>
    </row>
    <row r="1739" spans="1:24">
      <c r="A1739">
        <v>13531</v>
      </c>
      <c r="B1739" t="s">
        <v>25</v>
      </c>
      <c r="C1739" t="str">
        <f t="shared" si="56"/>
        <v>INTEGRA Saloon</v>
      </c>
      <c r="D1739" t="str">
        <f t="shared" si="55"/>
        <v>1.6 i</v>
      </c>
      <c r="E1739" t="s">
        <v>26</v>
      </c>
      <c r="F1739">
        <v>198501</v>
      </c>
      <c r="G1739">
        <v>199012</v>
      </c>
      <c r="H1739">
        <v>88</v>
      </c>
      <c r="I1739">
        <v>120</v>
      </c>
      <c r="J1739">
        <v>1590</v>
      </c>
      <c r="K1739">
        <v>4957470</v>
      </c>
      <c r="L1739" t="s">
        <v>258</v>
      </c>
      <c r="M1739" t="str">
        <f>"BP2349"</f>
        <v>BP2349</v>
      </c>
      <c r="N1739" t="str">
        <f>"BP2349"</f>
        <v>BP2349</v>
      </c>
      <c r="O1739" t="str">
        <f>"20104"</f>
        <v>20104</v>
      </c>
      <c r="P1739" t="s">
        <v>664</v>
      </c>
      <c r="Q1739" t="str">
        <f>"805014100295"</f>
        <v>805014100295</v>
      </c>
      <c r="R1739" t="s">
        <v>913</v>
      </c>
      <c r="T1739" s="1" t="s">
        <v>914</v>
      </c>
      <c r="U1739">
        <v>402</v>
      </c>
      <c r="V1739" t="s">
        <v>664</v>
      </c>
      <c r="W1739" t="s">
        <v>668</v>
      </c>
      <c r="X1739" t="s">
        <v>224</v>
      </c>
    </row>
    <row r="1740" spans="1:24">
      <c r="A1740">
        <v>13531</v>
      </c>
      <c r="B1740" t="s">
        <v>25</v>
      </c>
      <c r="C1740" t="str">
        <f t="shared" si="56"/>
        <v>INTEGRA Saloon</v>
      </c>
      <c r="D1740" t="str">
        <f t="shared" si="55"/>
        <v>1.6 i</v>
      </c>
      <c r="E1740" t="s">
        <v>26</v>
      </c>
      <c r="F1740">
        <v>198501</v>
      </c>
      <c r="G1740">
        <v>199012</v>
      </c>
      <c r="H1740">
        <v>88</v>
      </c>
      <c r="I1740">
        <v>120</v>
      </c>
      <c r="J1740">
        <v>1590</v>
      </c>
      <c r="K1740">
        <v>4957491</v>
      </c>
      <c r="L1740" t="s">
        <v>258</v>
      </c>
      <c r="M1740" t="str">
        <f>"BP2371"</f>
        <v>BP2371</v>
      </c>
      <c r="N1740" t="str">
        <f>"BP2371"</f>
        <v>BP2371</v>
      </c>
      <c r="O1740" t="str">
        <f>"20067"</f>
        <v>20067</v>
      </c>
      <c r="P1740" t="s">
        <v>664</v>
      </c>
      <c r="Q1740" t="str">
        <f>"805014100316"</f>
        <v>805014100316</v>
      </c>
      <c r="R1740" t="s">
        <v>915</v>
      </c>
      <c r="T1740" s="1" t="s">
        <v>916</v>
      </c>
      <c r="U1740">
        <v>402</v>
      </c>
      <c r="V1740" t="s">
        <v>664</v>
      </c>
      <c r="W1740" t="s">
        <v>668</v>
      </c>
      <c r="X1740" t="s">
        <v>224</v>
      </c>
    </row>
    <row r="1741" spans="1:24">
      <c r="A1741">
        <v>13531</v>
      </c>
      <c r="B1741" t="s">
        <v>25</v>
      </c>
      <c r="C1741" t="str">
        <f t="shared" si="56"/>
        <v>INTEGRA Saloon</v>
      </c>
      <c r="D1741" t="str">
        <f t="shared" si="55"/>
        <v>1.6 i</v>
      </c>
      <c r="E1741" t="s">
        <v>26</v>
      </c>
      <c r="F1741">
        <v>198501</v>
      </c>
      <c r="G1741">
        <v>199012</v>
      </c>
      <c r="H1741">
        <v>88</v>
      </c>
      <c r="I1741">
        <v>120</v>
      </c>
      <c r="J1741">
        <v>1590</v>
      </c>
      <c r="K1741">
        <v>4957515</v>
      </c>
      <c r="L1741" t="s">
        <v>258</v>
      </c>
      <c r="M1741" t="str">
        <f>"BP2396"</f>
        <v>BP2396</v>
      </c>
      <c r="N1741" t="str">
        <f>"BP2396"</f>
        <v>BP2396</v>
      </c>
      <c r="O1741" t="str">
        <f>"21312"</f>
        <v>21312</v>
      </c>
      <c r="P1741" t="s">
        <v>664</v>
      </c>
      <c r="Q1741" t="str">
        <f>"805014100341"</f>
        <v>805014100341</v>
      </c>
      <c r="R1741" t="s">
        <v>917</v>
      </c>
      <c r="T1741" s="1" t="s">
        <v>918</v>
      </c>
      <c r="U1741">
        <v>402</v>
      </c>
      <c r="V1741" t="s">
        <v>664</v>
      </c>
      <c r="W1741" t="s">
        <v>668</v>
      </c>
      <c r="X1741" t="s">
        <v>224</v>
      </c>
    </row>
    <row r="1742" spans="1:24">
      <c r="A1742">
        <v>13531</v>
      </c>
      <c r="B1742" t="s">
        <v>25</v>
      </c>
      <c r="C1742" t="str">
        <f t="shared" si="56"/>
        <v>INTEGRA Saloon</v>
      </c>
      <c r="D1742" t="str">
        <f t="shared" si="55"/>
        <v>1.6 i</v>
      </c>
      <c r="E1742" t="s">
        <v>26</v>
      </c>
      <c r="F1742">
        <v>198501</v>
      </c>
      <c r="G1742">
        <v>199012</v>
      </c>
      <c r="H1742">
        <v>88</v>
      </c>
      <c r="I1742">
        <v>120</v>
      </c>
      <c r="J1742">
        <v>1590</v>
      </c>
      <c r="K1742">
        <v>4957596</v>
      </c>
      <c r="L1742" t="s">
        <v>258</v>
      </c>
      <c r="M1742" t="str">
        <f>"BP2479"</f>
        <v>BP2479</v>
      </c>
      <c r="N1742" t="str">
        <f>"BP2479"</f>
        <v>BP2479</v>
      </c>
      <c r="O1742" t="str">
        <f>"21323"</f>
        <v>21323</v>
      </c>
      <c r="P1742" t="s">
        <v>664</v>
      </c>
      <c r="Q1742" t="str">
        <f>"805014100422"</f>
        <v>805014100422</v>
      </c>
      <c r="R1742" t="s">
        <v>919</v>
      </c>
      <c r="T1742" s="1" t="s">
        <v>920</v>
      </c>
      <c r="U1742">
        <v>402</v>
      </c>
      <c r="V1742" t="s">
        <v>664</v>
      </c>
      <c r="W1742" t="s">
        <v>668</v>
      </c>
      <c r="X1742" t="s">
        <v>224</v>
      </c>
    </row>
    <row r="1743" spans="1:24">
      <c r="A1743">
        <v>13531</v>
      </c>
      <c r="B1743" t="s">
        <v>25</v>
      </c>
      <c r="C1743" t="str">
        <f t="shared" si="56"/>
        <v>INTEGRA Saloon</v>
      </c>
      <c r="D1743" t="str">
        <f t="shared" si="55"/>
        <v>1.6 i</v>
      </c>
      <c r="E1743" t="s">
        <v>26</v>
      </c>
      <c r="F1743">
        <v>198501</v>
      </c>
      <c r="G1743">
        <v>199012</v>
      </c>
      <c r="H1743">
        <v>88</v>
      </c>
      <c r="I1743">
        <v>120</v>
      </c>
      <c r="J1743">
        <v>1590</v>
      </c>
      <c r="K1743">
        <v>4957597</v>
      </c>
      <c r="L1743" t="s">
        <v>258</v>
      </c>
      <c r="M1743" t="str">
        <f>"BP2480"</f>
        <v>BP2480</v>
      </c>
      <c r="N1743" t="str">
        <f>"BP2480"</f>
        <v>BP2480</v>
      </c>
      <c r="O1743" t="str">
        <f>"21446"</f>
        <v>21446</v>
      </c>
      <c r="P1743" t="s">
        <v>664</v>
      </c>
      <c r="Q1743" t="str">
        <f>"805014100423"</f>
        <v>805014100423</v>
      </c>
      <c r="R1743" t="s">
        <v>921</v>
      </c>
      <c r="T1743" s="1" t="s">
        <v>922</v>
      </c>
      <c r="U1743">
        <v>402</v>
      </c>
      <c r="V1743" t="s">
        <v>664</v>
      </c>
      <c r="W1743" t="s">
        <v>668</v>
      </c>
      <c r="X1743" t="s">
        <v>224</v>
      </c>
    </row>
    <row r="1744" spans="1:24">
      <c r="A1744">
        <v>13531</v>
      </c>
      <c r="B1744" t="s">
        <v>25</v>
      </c>
      <c r="C1744" t="str">
        <f t="shared" si="56"/>
        <v>INTEGRA Saloon</v>
      </c>
      <c r="D1744" t="str">
        <f t="shared" si="55"/>
        <v>1.6 i</v>
      </c>
      <c r="E1744" t="s">
        <v>26</v>
      </c>
      <c r="F1744">
        <v>198501</v>
      </c>
      <c r="G1744">
        <v>199012</v>
      </c>
      <c r="H1744">
        <v>88</v>
      </c>
      <c r="I1744">
        <v>120</v>
      </c>
      <c r="J1744">
        <v>1590</v>
      </c>
      <c r="K1744">
        <v>4967124</v>
      </c>
      <c r="L1744" t="s">
        <v>923</v>
      </c>
      <c r="M1744" t="str">
        <f>"10471"</f>
        <v>10471</v>
      </c>
      <c r="N1744" t="str">
        <f>"10471"</f>
        <v>10471</v>
      </c>
      <c r="O1744" t="str">
        <f>""</f>
        <v/>
      </c>
      <c r="P1744" t="s">
        <v>664</v>
      </c>
      <c r="Q1744" t="str">
        <f>"8435067619346"</f>
        <v>8435067619346</v>
      </c>
      <c r="R1744" t="s">
        <v>924</v>
      </c>
      <c r="S1744" t="s">
        <v>813</v>
      </c>
      <c r="T1744" s="1" t="s">
        <v>925</v>
      </c>
      <c r="U1744">
        <v>402</v>
      </c>
      <c r="V1744" t="s">
        <v>664</v>
      </c>
      <c r="W1744" t="s">
        <v>668</v>
      </c>
      <c r="X1744" t="s">
        <v>224</v>
      </c>
    </row>
    <row r="1745" spans="1:25">
      <c r="A1745">
        <v>13531</v>
      </c>
      <c r="B1745" t="s">
        <v>25</v>
      </c>
      <c r="C1745" t="str">
        <f t="shared" si="56"/>
        <v>INTEGRA Saloon</v>
      </c>
      <c r="D1745" t="str">
        <f t="shared" si="55"/>
        <v>1.6 i</v>
      </c>
      <c r="E1745" t="s">
        <v>26</v>
      </c>
      <c r="F1745">
        <v>198501</v>
      </c>
      <c r="G1745">
        <v>199012</v>
      </c>
      <c r="H1745">
        <v>88</v>
      </c>
      <c r="I1745">
        <v>120</v>
      </c>
      <c r="J1745">
        <v>1590</v>
      </c>
      <c r="K1745">
        <v>1781780</v>
      </c>
      <c r="L1745" t="s">
        <v>930</v>
      </c>
      <c r="M1745" t="str">
        <f>"QSRP10"</f>
        <v>QSRP10</v>
      </c>
      <c r="N1745" t="str">
        <f>"QSRP10"</f>
        <v>QSRP10</v>
      </c>
      <c r="O1745" t="str">
        <f>""</f>
        <v/>
      </c>
      <c r="P1745" t="s">
        <v>931</v>
      </c>
      <c r="Q1745" t="str">
        <f>"5050438112627"</f>
        <v>5050438112627</v>
      </c>
      <c r="R1745" t="s">
        <v>932</v>
      </c>
      <c r="S1745" t="s">
        <v>933</v>
      </c>
      <c r="T1745" t="s">
        <v>934</v>
      </c>
      <c r="U1745">
        <v>417</v>
      </c>
      <c r="V1745" t="s">
        <v>931</v>
      </c>
      <c r="W1745" t="s">
        <v>70</v>
      </c>
      <c r="X1745" t="s">
        <v>211</v>
      </c>
      <c r="Y1745" t="s">
        <v>935</v>
      </c>
    </row>
    <row r="1746" spans="1:25">
      <c r="A1746">
        <v>13531</v>
      </c>
      <c r="B1746" t="s">
        <v>25</v>
      </c>
      <c r="C1746" t="str">
        <f t="shared" si="56"/>
        <v>INTEGRA Saloon</v>
      </c>
      <c r="D1746" t="str">
        <f t="shared" si="55"/>
        <v>1.6 i</v>
      </c>
      <c r="E1746" t="s">
        <v>26</v>
      </c>
      <c r="F1746">
        <v>198501</v>
      </c>
      <c r="G1746">
        <v>199012</v>
      </c>
      <c r="H1746">
        <v>88</v>
      </c>
      <c r="I1746">
        <v>120</v>
      </c>
      <c r="J1746">
        <v>1590</v>
      </c>
      <c r="K1746">
        <v>1781981</v>
      </c>
      <c r="L1746" t="s">
        <v>930</v>
      </c>
      <c r="M1746" t="str">
        <f>"QSRP12"</f>
        <v>QSRP12</v>
      </c>
      <c r="N1746" t="str">
        <f>"QSRP12"</f>
        <v>QSRP12</v>
      </c>
      <c r="O1746" t="str">
        <f>""</f>
        <v/>
      </c>
      <c r="P1746" t="s">
        <v>931</v>
      </c>
      <c r="Q1746" t="str">
        <f>"5050438112634"</f>
        <v>5050438112634</v>
      </c>
      <c r="S1746" t="s">
        <v>933</v>
      </c>
      <c r="U1746">
        <v>417</v>
      </c>
      <c r="V1746" t="s">
        <v>931</v>
      </c>
      <c r="W1746" t="s">
        <v>70</v>
      </c>
      <c r="X1746" t="s">
        <v>211</v>
      </c>
      <c r="Y1746" t="s">
        <v>935</v>
      </c>
    </row>
    <row r="1747" spans="1:25">
      <c r="A1747">
        <v>13531</v>
      </c>
      <c r="B1747" t="s">
        <v>25</v>
      </c>
      <c r="C1747" t="str">
        <f t="shared" si="56"/>
        <v>INTEGRA Saloon</v>
      </c>
      <c r="D1747" t="str">
        <f t="shared" si="55"/>
        <v>1.6 i</v>
      </c>
      <c r="E1747" t="s">
        <v>26</v>
      </c>
      <c r="F1747">
        <v>198501</v>
      </c>
      <c r="G1747">
        <v>199012</v>
      </c>
      <c r="H1747">
        <v>88</v>
      </c>
      <c r="I1747">
        <v>120</v>
      </c>
      <c r="J1747">
        <v>1590</v>
      </c>
      <c r="K1747">
        <v>1140787</v>
      </c>
      <c r="L1747" t="s">
        <v>659</v>
      </c>
      <c r="M1747" t="str">
        <f>"705110"</f>
        <v>705110</v>
      </c>
      <c r="N1747" t="str">
        <f>"705.110"</f>
        <v>705.110</v>
      </c>
      <c r="O1747" t="str">
        <f>""</f>
        <v/>
      </c>
      <c r="P1747" t="s">
        <v>936</v>
      </c>
      <c r="Q1747" t="str">
        <f>"4041248103142"</f>
        <v>4041248103142</v>
      </c>
      <c r="R1747" t="s">
        <v>937</v>
      </c>
      <c r="T1747" t="s">
        <v>938</v>
      </c>
      <c r="U1747">
        <v>455</v>
      </c>
      <c r="V1747" t="s">
        <v>936</v>
      </c>
      <c r="W1747" t="s">
        <v>640</v>
      </c>
      <c r="X1747" t="s">
        <v>71</v>
      </c>
      <c r="Y1747" t="s">
        <v>939</v>
      </c>
    </row>
    <row r="1748" spans="1:25">
      <c r="A1748">
        <v>13531</v>
      </c>
      <c r="B1748" t="s">
        <v>25</v>
      </c>
      <c r="C1748" t="str">
        <f t="shared" si="56"/>
        <v>INTEGRA Saloon</v>
      </c>
      <c r="D1748" t="str">
        <f t="shared" si="55"/>
        <v>1.6 i</v>
      </c>
      <c r="E1748" t="s">
        <v>26</v>
      </c>
      <c r="F1748">
        <v>198501</v>
      </c>
      <c r="G1748">
        <v>199012</v>
      </c>
      <c r="H1748">
        <v>88</v>
      </c>
      <c r="I1748">
        <v>120</v>
      </c>
      <c r="J1748">
        <v>1590</v>
      </c>
      <c r="K1748">
        <v>4130164</v>
      </c>
      <c r="L1748" t="s">
        <v>1291</v>
      </c>
      <c r="M1748" t="str">
        <f>"OP4344"</f>
        <v>OP4344</v>
      </c>
      <c r="N1748" t="str">
        <f>"OP4344"</f>
        <v>OP4344</v>
      </c>
      <c r="O1748" t="str">
        <f>""</f>
        <v/>
      </c>
      <c r="P1748" t="s">
        <v>936</v>
      </c>
      <c r="Q1748" t="str">
        <f>""</f>
        <v/>
      </c>
      <c r="R1748" t="s">
        <v>1408</v>
      </c>
      <c r="S1748" t="s">
        <v>1293</v>
      </c>
      <c r="T1748" s="1" t="s">
        <v>1679</v>
      </c>
      <c r="U1748">
        <v>455</v>
      </c>
      <c r="V1748" t="s">
        <v>936</v>
      </c>
      <c r="W1748" t="s">
        <v>640</v>
      </c>
      <c r="X1748" t="s">
        <v>71</v>
      </c>
      <c r="Y1748" t="s">
        <v>939</v>
      </c>
    </row>
    <row r="1749" spans="1:25">
      <c r="A1749">
        <v>13531</v>
      </c>
      <c r="B1749" t="s">
        <v>25</v>
      </c>
      <c r="C1749" t="str">
        <f t="shared" si="56"/>
        <v>INTEGRA Saloon</v>
      </c>
      <c r="D1749" t="str">
        <f t="shared" si="55"/>
        <v>1.6 i</v>
      </c>
      <c r="E1749" t="s">
        <v>26</v>
      </c>
      <c r="F1749">
        <v>198501</v>
      </c>
      <c r="G1749">
        <v>199012</v>
      </c>
      <c r="H1749">
        <v>88</v>
      </c>
      <c r="I1749">
        <v>120</v>
      </c>
      <c r="J1749">
        <v>1590</v>
      </c>
      <c r="K1749">
        <v>3027660</v>
      </c>
      <c r="L1749" t="s">
        <v>33</v>
      </c>
      <c r="M1749" t="str">
        <f>"J1545000"</f>
        <v>J1545000</v>
      </c>
      <c r="N1749" t="str">
        <f>"J1545000"</f>
        <v>J1545000</v>
      </c>
      <c r="O1749" t="str">
        <f>""</f>
        <v/>
      </c>
      <c r="P1749" t="s">
        <v>980</v>
      </c>
      <c r="Q1749" t="str">
        <f>"8711768039523"</f>
        <v>8711768039523</v>
      </c>
      <c r="R1749" t="s">
        <v>981</v>
      </c>
      <c r="T1749" s="1" t="s">
        <v>982</v>
      </c>
      <c r="U1749">
        <v>549</v>
      </c>
      <c r="V1749" t="s">
        <v>980</v>
      </c>
      <c r="W1749" t="s">
        <v>983</v>
      </c>
      <c r="X1749" t="s">
        <v>626</v>
      </c>
      <c r="Y1749" t="s">
        <v>976</v>
      </c>
    </row>
    <row r="1750" spans="1:25">
      <c r="A1750">
        <v>13531</v>
      </c>
      <c r="B1750" t="s">
        <v>25</v>
      </c>
      <c r="C1750" t="str">
        <f t="shared" si="56"/>
        <v>INTEGRA Saloon</v>
      </c>
      <c r="D1750" t="str">
        <f t="shared" si="55"/>
        <v>1.6 i</v>
      </c>
      <c r="E1750" t="s">
        <v>26</v>
      </c>
      <c r="F1750">
        <v>198501</v>
      </c>
      <c r="G1750">
        <v>199012</v>
      </c>
      <c r="H1750">
        <v>88</v>
      </c>
      <c r="I1750">
        <v>120</v>
      </c>
      <c r="J1750">
        <v>1590</v>
      </c>
      <c r="K1750">
        <v>836363</v>
      </c>
      <c r="L1750" t="s">
        <v>1291</v>
      </c>
      <c r="M1750" t="str">
        <f>"OS2323"</f>
        <v>OS2323</v>
      </c>
      <c r="N1750" t="str">
        <f>"OS2323"</f>
        <v>OS2323</v>
      </c>
      <c r="O1750" t="str">
        <f>""</f>
        <v/>
      </c>
      <c r="P1750" t="s">
        <v>984</v>
      </c>
      <c r="Q1750" t="str">
        <f>""</f>
        <v/>
      </c>
      <c r="R1750" t="s">
        <v>1424</v>
      </c>
      <c r="S1750" t="s">
        <v>1293</v>
      </c>
      <c r="T1750" s="1" t="s">
        <v>1425</v>
      </c>
      <c r="U1750">
        <v>572</v>
      </c>
      <c r="V1750" t="s">
        <v>984</v>
      </c>
      <c r="W1750" t="s">
        <v>987</v>
      </c>
      <c r="X1750" t="s">
        <v>988</v>
      </c>
      <c r="Y1750" t="s">
        <v>989</v>
      </c>
    </row>
    <row r="1751" spans="1:25">
      <c r="A1751">
        <v>13531</v>
      </c>
      <c r="B1751" t="s">
        <v>25</v>
      </c>
      <c r="C1751" t="str">
        <f t="shared" si="56"/>
        <v>INTEGRA Saloon</v>
      </c>
      <c r="D1751" t="str">
        <f t="shared" si="55"/>
        <v>1.6 i</v>
      </c>
      <c r="E1751" t="s">
        <v>26</v>
      </c>
      <c r="F1751">
        <v>198501</v>
      </c>
      <c r="G1751">
        <v>199012</v>
      </c>
      <c r="H1751">
        <v>88</v>
      </c>
      <c r="I1751">
        <v>120</v>
      </c>
      <c r="J1751">
        <v>1590</v>
      </c>
      <c r="K1751">
        <v>836365</v>
      </c>
      <c r="L1751" t="s">
        <v>1291</v>
      </c>
      <c r="M1751" t="str">
        <f>"OS2326"</f>
        <v>OS2326</v>
      </c>
      <c r="N1751" t="str">
        <f>"OS2326"</f>
        <v>OS2326</v>
      </c>
      <c r="O1751" t="str">
        <f>""</f>
        <v/>
      </c>
      <c r="P1751" t="s">
        <v>984</v>
      </c>
      <c r="Q1751" t="str">
        <f>""</f>
        <v/>
      </c>
      <c r="R1751" t="s">
        <v>1426</v>
      </c>
      <c r="S1751" t="s">
        <v>1427</v>
      </c>
      <c r="T1751" t="s">
        <v>1428</v>
      </c>
      <c r="U1751">
        <v>572</v>
      </c>
      <c r="V1751" t="s">
        <v>984</v>
      </c>
      <c r="W1751" t="s">
        <v>987</v>
      </c>
      <c r="X1751" t="s">
        <v>988</v>
      </c>
      <c r="Y1751" t="s">
        <v>989</v>
      </c>
    </row>
    <row r="1752" spans="1:25">
      <c r="A1752">
        <v>13531</v>
      </c>
      <c r="B1752" t="s">
        <v>25</v>
      </c>
      <c r="C1752" t="str">
        <f t="shared" si="56"/>
        <v>INTEGRA Saloon</v>
      </c>
      <c r="D1752" t="str">
        <f t="shared" si="55"/>
        <v>1.6 i</v>
      </c>
      <c r="E1752" t="s">
        <v>26</v>
      </c>
      <c r="F1752">
        <v>198501</v>
      </c>
      <c r="G1752">
        <v>199012</v>
      </c>
      <c r="H1752">
        <v>88</v>
      </c>
      <c r="I1752">
        <v>120</v>
      </c>
      <c r="J1752">
        <v>1590</v>
      </c>
      <c r="K1752">
        <v>308992</v>
      </c>
      <c r="L1752" t="s">
        <v>990</v>
      </c>
      <c r="M1752" t="str">
        <f>"7143584STD"</f>
        <v>7143584STD</v>
      </c>
      <c r="N1752" t="str">
        <f>"71-4358/4 STD"</f>
        <v>71-4358/4 STD</v>
      </c>
      <c r="O1752" t="str">
        <f>""</f>
        <v/>
      </c>
      <c r="P1752" t="s">
        <v>991</v>
      </c>
      <c r="Q1752" t="str">
        <f>"4044197428243"</f>
        <v>4044197428243</v>
      </c>
      <c r="S1752" t="s">
        <v>1632</v>
      </c>
      <c r="U1752">
        <v>582</v>
      </c>
      <c r="V1752" t="s">
        <v>991</v>
      </c>
      <c r="W1752" t="s">
        <v>203</v>
      </c>
      <c r="X1752" t="s">
        <v>988</v>
      </c>
      <c r="Y1752" t="s">
        <v>994</v>
      </c>
    </row>
    <row r="1753" spans="1:25">
      <c r="A1753">
        <v>13531</v>
      </c>
      <c r="B1753" t="s">
        <v>25</v>
      </c>
      <c r="C1753" t="str">
        <f t="shared" si="56"/>
        <v>INTEGRA Saloon</v>
      </c>
      <c r="D1753" t="str">
        <f t="shared" si="55"/>
        <v>1.6 i</v>
      </c>
      <c r="E1753" t="s">
        <v>26</v>
      </c>
      <c r="F1753">
        <v>198501</v>
      </c>
      <c r="G1753">
        <v>199012</v>
      </c>
      <c r="H1753">
        <v>88</v>
      </c>
      <c r="I1753">
        <v>120</v>
      </c>
      <c r="J1753">
        <v>1590</v>
      </c>
      <c r="K1753">
        <v>4828036</v>
      </c>
      <c r="L1753" t="s">
        <v>995</v>
      </c>
      <c r="M1753" t="str">
        <f>"WG1185701"</f>
        <v>WG1185701</v>
      </c>
      <c r="N1753" t="str">
        <f>"WG1185701"</f>
        <v>WG1185701</v>
      </c>
      <c r="O1753" t="str">
        <f>""</f>
        <v/>
      </c>
      <c r="P1753" t="s">
        <v>991</v>
      </c>
      <c r="Q1753" t="str">
        <f>"4044197428243"</f>
        <v>4044197428243</v>
      </c>
      <c r="S1753" t="s">
        <v>1632</v>
      </c>
      <c r="U1753">
        <v>582</v>
      </c>
      <c r="V1753" t="s">
        <v>991</v>
      </c>
      <c r="W1753" t="s">
        <v>203</v>
      </c>
      <c r="X1753" t="s">
        <v>988</v>
      </c>
      <c r="Y1753" t="s">
        <v>994</v>
      </c>
    </row>
    <row r="1754" spans="1:25">
      <c r="A1754">
        <v>13531</v>
      </c>
      <c r="B1754" t="s">
        <v>25</v>
      </c>
      <c r="C1754" t="str">
        <f t="shared" si="56"/>
        <v>INTEGRA Saloon</v>
      </c>
      <c r="D1754" t="str">
        <f t="shared" si="55"/>
        <v>1.6 i</v>
      </c>
      <c r="E1754" t="s">
        <v>26</v>
      </c>
      <c r="F1754">
        <v>198501</v>
      </c>
      <c r="G1754">
        <v>199012</v>
      </c>
      <c r="H1754">
        <v>88</v>
      </c>
      <c r="I1754">
        <v>120</v>
      </c>
      <c r="J1754">
        <v>1590</v>
      </c>
      <c r="K1754">
        <v>4666100</v>
      </c>
      <c r="L1754" t="s">
        <v>997</v>
      </c>
      <c r="M1754" t="str">
        <f>"PHU3050"</f>
        <v>PHU3050</v>
      </c>
      <c r="N1754" t="str">
        <f>"PHU3050"</f>
        <v>PHU3050</v>
      </c>
      <c r="O1754" t="str">
        <f>""</f>
        <v/>
      </c>
      <c r="P1754" t="s">
        <v>998</v>
      </c>
      <c r="Q1754" t="str">
        <f>""</f>
        <v/>
      </c>
      <c r="R1754" t="s">
        <v>999</v>
      </c>
      <c r="T1754" t="s">
        <v>1000</v>
      </c>
      <c r="U1754">
        <v>653</v>
      </c>
      <c r="V1754" t="s">
        <v>998</v>
      </c>
      <c r="W1754" t="s">
        <v>998</v>
      </c>
      <c r="X1754" t="s">
        <v>497</v>
      </c>
    </row>
    <row r="1755" spans="1:25">
      <c r="A1755">
        <v>13531</v>
      </c>
      <c r="B1755" t="s">
        <v>25</v>
      </c>
      <c r="C1755" t="str">
        <f t="shared" si="56"/>
        <v>INTEGRA Saloon</v>
      </c>
      <c r="D1755" t="str">
        <f t="shared" si="55"/>
        <v>1.6 i</v>
      </c>
      <c r="E1755" t="s">
        <v>26</v>
      </c>
      <c r="F1755">
        <v>198501</v>
      </c>
      <c r="G1755">
        <v>199012</v>
      </c>
      <c r="H1755">
        <v>88</v>
      </c>
      <c r="I1755">
        <v>120</v>
      </c>
      <c r="J1755">
        <v>1590</v>
      </c>
      <c r="K1755">
        <v>2382630</v>
      </c>
      <c r="L1755" t="s">
        <v>144</v>
      </c>
      <c r="M1755" t="str">
        <f>"26506"</f>
        <v>26506</v>
      </c>
      <c r="N1755" t="str">
        <f>"26506"</f>
        <v>26506</v>
      </c>
      <c r="O1755" t="str">
        <f>""</f>
        <v/>
      </c>
      <c r="P1755" t="s">
        <v>1001</v>
      </c>
      <c r="Q1755" t="str">
        <f>"4043605102089"</f>
        <v>4043605102089</v>
      </c>
      <c r="R1755" t="s">
        <v>1002</v>
      </c>
      <c r="T1755" s="1" t="s">
        <v>1003</v>
      </c>
      <c r="U1755">
        <v>654</v>
      </c>
      <c r="V1755" t="s">
        <v>1001</v>
      </c>
      <c r="W1755" t="s">
        <v>1004</v>
      </c>
      <c r="X1755" t="s">
        <v>497</v>
      </c>
      <c r="Y1755" t="s">
        <v>998</v>
      </c>
    </row>
    <row r="1756" spans="1:25">
      <c r="A1756">
        <v>13531</v>
      </c>
      <c r="B1756" t="s">
        <v>25</v>
      </c>
      <c r="C1756" t="str">
        <f t="shared" si="56"/>
        <v>INTEGRA Saloon</v>
      </c>
      <c r="D1756" t="str">
        <f t="shared" si="55"/>
        <v>1.6 i</v>
      </c>
      <c r="E1756" t="s">
        <v>26</v>
      </c>
      <c r="F1756">
        <v>198501</v>
      </c>
      <c r="G1756">
        <v>199012</v>
      </c>
      <c r="H1756">
        <v>88</v>
      </c>
      <c r="I1756">
        <v>120</v>
      </c>
      <c r="J1756">
        <v>1590</v>
      </c>
      <c r="K1756">
        <v>2382638</v>
      </c>
      <c r="L1756" t="s">
        <v>144</v>
      </c>
      <c r="M1756" t="str">
        <f>"26513"</f>
        <v>26513</v>
      </c>
      <c r="N1756" t="str">
        <f>"26513"</f>
        <v>26513</v>
      </c>
      <c r="O1756" t="str">
        <f>""</f>
        <v/>
      </c>
      <c r="P1756" t="s">
        <v>1001</v>
      </c>
      <c r="Q1756" t="str">
        <f>"4043605113023"</f>
        <v>4043605113023</v>
      </c>
      <c r="R1756" t="s">
        <v>1005</v>
      </c>
      <c r="S1756" t="s">
        <v>1006</v>
      </c>
      <c r="T1756" s="1" t="s">
        <v>1007</v>
      </c>
      <c r="U1756">
        <v>654</v>
      </c>
      <c r="V1756" t="s">
        <v>1001</v>
      </c>
      <c r="W1756" t="s">
        <v>1004</v>
      </c>
      <c r="X1756" t="s">
        <v>497</v>
      </c>
      <c r="Y1756" t="s">
        <v>998</v>
      </c>
    </row>
    <row r="1757" spans="1:25">
      <c r="A1757">
        <v>13531</v>
      </c>
      <c r="B1757" t="s">
        <v>25</v>
      </c>
      <c r="C1757" t="str">
        <f t="shared" si="56"/>
        <v>INTEGRA Saloon</v>
      </c>
      <c r="D1757" t="str">
        <f t="shared" si="55"/>
        <v>1.6 i</v>
      </c>
      <c r="E1757" t="s">
        <v>26</v>
      </c>
      <c r="F1757">
        <v>198501</v>
      </c>
      <c r="G1757">
        <v>199012</v>
      </c>
      <c r="H1757">
        <v>88</v>
      </c>
      <c r="I1757">
        <v>120</v>
      </c>
      <c r="J1757">
        <v>1590</v>
      </c>
      <c r="K1757">
        <v>3031614</v>
      </c>
      <c r="L1757" t="s">
        <v>33</v>
      </c>
      <c r="M1757" t="str">
        <f>"J4704012"</f>
        <v>J4704012</v>
      </c>
      <c r="N1757" t="str">
        <f>"J4704012"</f>
        <v>J4704012</v>
      </c>
      <c r="O1757" t="str">
        <f>""</f>
        <v/>
      </c>
      <c r="P1757" t="s">
        <v>1001</v>
      </c>
      <c r="Q1757" t="str">
        <f>"8711768061760"</f>
        <v>8711768061760</v>
      </c>
      <c r="R1757" t="s">
        <v>1008</v>
      </c>
      <c r="S1757" t="s">
        <v>392</v>
      </c>
      <c r="T1757" s="1" t="s">
        <v>1009</v>
      </c>
      <c r="U1757">
        <v>654</v>
      </c>
      <c r="V1757" t="s">
        <v>1001</v>
      </c>
      <c r="W1757" t="s">
        <v>1004</v>
      </c>
      <c r="X1757" t="s">
        <v>497</v>
      </c>
      <c r="Y1757" t="s">
        <v>998</v>
      </c>
    </row>
    <row r="1758" spans="1:25">
      <c r="A1758">
        <v>13531</v>
      </c>
      <c r="B1758" t="s">
        <v>25</v>
      </c>
      <c r="C1758" t="str">
        <f t="shared" si="56"/>
        <v>INTEGRA Saloon</v>
      </c>
      <c r="D1758" t="str">
        <f t="shared" si="55"/>
        <v>1.6 i</v>
      </c>
      <c r="E1758" t="s">
        <v>26</v>
      </c>
      <c r="F1758">
        <v>198501</v>
      </c>
      <c r="G1758">
        <v>199012</v>
      </c>
      <c r="H1758">
        <v>88</v>
      </c>
      <c r="I1758">
        <v>120</v>
      </c>
      <c r="J1758">
        <v>1590</v>
      </c>
      <c r="K1758">
        <v>3031804</v>
      </c>
      <c r="L1758" t="s">
        <v>33</v>
      </c>
      <c r="M1758" t="str">
        <f>"J4714007"</f>
        <v>J4714007</v>
      </c>
      <c r="N1758" t="str">
        <f>"J4714007"</f>
        <v>J4714007</v>
      </c>
      <c r="O1758" t="str">
        <f>""</f>
        <v/>
      </c>
      <c r="P1758" t="s">
        <v>1001</v>
      </c>
      <c r="Q1758" t="str">
        <f>"8711768062842"</f>
        <v>8711768062842</v>
      </c>
      <c r="R1758" t="s">
        <v>1010</v>
      </c>
      <c r="S1758" t="s">
        <v>1011</v>
      </c>
      <c r="T1758" s="1" t="s">
        <v>1012</v>
      </c>
      <c r="U1758">
        <v>654</v>
      </c>
      <c r="V1758" t="s">
        <v>1001</v>
      </c>
      <c r="W1758" t="s">
        <v>1004</v>
      </c>
      <c r="X1758" t="s">
        <v>497</v>
      </c>
      <c r="Y1758" t="s">
        <v>998</v>
      </c>
    </row>
    <row r="1759" spans="1:25">
      <c r="A1759">
        <v>13531</v>
      </c>
      <c r="B1759" t="s">
        <v>25</v>
      </c>
      <c r="C1759" t="str">
        <f t="shared" si="56"/>
        <v>INTEGRA Saloon</v>
      </c>
      <c r="D1759" t="str">
        <f t="shared" si="55"/>
        <v>1.6 i</v>
      </c>
      <c r="E1759" t="s">
        <v>26</v>
      </c>
      <c r="F1759">
        <v>198501</v>
      </c>
      <c r="G1759">
        <v>199012</v>
      </c>
      <c r="H1759">
        <v>88</v>
      </c>
      <c r="I1759">
        <v>120</v>
      </c>
      <c r="J1759">
        <v>1590</v>
      </c>
      <c r="K1759">
        <v>3685879</v>
      </c>
      <c r="L1759" t="s">
        <v>501</v>
      </c>
      <c r="M1759" t="str">
        <f>"9225008"</f>
        <v>9225008</v>
      </c>
      <c r="N1759" t="str">
        <f>"9225008"</f>
        <v>9225008</v>
      </c>
      <c r="O1759" t="str">
        <f>""</f>
        <v/>
      </c>
      <c r="P1759" t="s">
        <v>1001</v>
      </c>
      <c r="Q1759" t="str">
        <f>""</f>
        <v/>
      </c>
      <c r="R1759" t="s">
        <v>1013</v>
      </c>
      <c r="T1759" s="1" t="s">
        <v>1014</v>
      </c>
      <c r="U1759">
        <v>654</v>
      </c>
      <c r="V1759" t="s">
        <v>1001</v>
      </c>
      <c r="W1759" t="s">
        <v>1004</v>
      </c>
      <c r="X1759" t="s">
        <v>497</v>
      </c>
      <c r="Y1759" t="s">
        <v>998</v>
      </c>
    </row>
    <row r="1760" spans="1:25">
      <c r="A1760">
        <v>13531</v>
      </c>
      <c r="B1760" t="s">
        <v>25</v>
      </c>
      <c r="C1760" t="str">
        <f t="shared" si="56"/>
        <v>INTEGRA Saloon</v>
      </c>
      <c r="D1760" t="str">
        <f t="shared" si="55"/>
        <v>1.6 i</v>
      </c>
      <c r="E1760" t="s">
        <v>26</v>
      </c>
      <c r="F1760">
        <v>198501</v>
      </c>
      <c r="G1760">
        <v>199012</v>
      </c>
      <c r="H1760">
        <v>88</v>
      </c>
      <c r="I1760">
        <v>120</v>
      </c>
      <c r="J1760">
        <v>1590</v>
      </c>
      <c r="K1760">
        <v>3964419</v>
      </c>
      <c r="L1760" t="s">
        <v>27</v>
      </c>
      <c r="M1760" t="str">
        <f>"H31017"</f>
        <v>H31017</v>
      </c>
      <c r="N1760" t="str">
        <f>"H310-17"</f>
        <v>H310-17</v>
      </c>
      <c r="O1760" t="str">
        <f>""</f>
        <v/>
      </c>
      <c r="P1760" t="s">
        <v>1001</v>
      </c>
      <c r="Q1760" t="str">
        <f>"8718993215401"</f>
        <v>8718993215401</v>
      </c>
      <c r="R1760" t="s">
        <v>1015</v>
      </c>
      <c r="S1760" t="s">
        <v>1016</v>
      </c>
      <c r="T1760" s="1" t="s">
        <v>1017</v>
      </c>
      <c r="U1760">
        <v>654</v>
      </c>
      <c r="V1760" t="s">
        <v>1001</v>
      </c>
      <c r="W1760" t="s">
        <v>1004</v>
      </c>
      <c r="X1760" t="s">
        <v>497</v>
      </c>
      <c r="Y1760" t="s">
        <v>998</v>
      </c>
    </row>
    <row r="1761" spans="1:25">
      <c r="A1761">
        <v>13531</v>
      </c>
      <c r="B1761" t="s">
        <v>25</v>
      </c>
      <c r="C1761" t="str">
        <f t="shared" si="56"/>
        <v>INTEGRA Saloon</v>
      </c>
      <c r="D1761" t="str">
        <f t="shared" si="55"/>
        <v>1.6 i</v>
      </c>
      <c r="E1761" t="s">
        <v>26</v>
      </c>
      <c r="F1761">
        <v>198501</v>
      </c>
      <c r="G1761">
        <v>199012</v>
      </c>
      <c r="H1761">
        <v>88</v>
      </c>
      <c r="I1761">
        <v>120</v>
      </c>
      <c r="J1761">
        <v>1590</v>
      </c>
      <c r="K1761">
        <v>3964422</v>
      </c>
      <c r="L1761" t="s">
        <v>27</v>
      </c>
      <c r="M1761" t="str">
        <f>"H31020"</f>
        <v>H31020</v>
      </c>
      <c r="N1761" t="str">
        <f>"H310-20"</f>
        <v>H310-20</v>
      </c>
      <c r="O1761" t="str">
        <f>""</f>
        <v/>
      </c>
      <c r="P1761" t="s">
        <v>1001</v>
      </c>
      <c r="Q1761" t="str">
        <f>"8718993215432"</f>
        <v>8718993215432</v>
      </c>
      <c r="R1761" t="s">
        <v>1018</v>
      </c>
      <c r="S1761" t="s">
        <v>424</v>
      </c>
      <c r="T1761" s="1" t="s">
        <v>1019</v>
      </c>
      <c r="U1761">
        <v>654</v>
      </c>
      <c r="V1761" t="s">
        <v>1001</v>
      </c>
      <c r="W1761" t="s">
        <v>1004</v>
      </c>
      <c r="X1761" t="s">
        <v>497</v>
      </c>
      <c r="Y1761" t="s">
        <v>998</v>
      </c>
    </row>
    <row r="1762" spans="1:25">
      <c r="A1762">
        <v>13531</v>
      </c>
      <c r="B1762" t="s">
        <v>25</v>
      </c>
      <c r="C1762" t="str">
        <f t="shared" si="56"/>
        <v>INTEGRA Saloon</v>
      </c>
      <c r="D1762" t="str">
        <f t="shared" si="55"/>
        <v>1.6 i</v>
      </c>
      <c r="E1762" t="s">
        <v>26</v>
      </c>
      <c r="F1762">
        <v>198501</v>
      </c>
      <c r="G1762">
        <v>199012</v>
      </c>
      <c r="H1762">
        <v>88</v>
      </c>
      <c r="I1762">
        <v>120</v>
      </c>
      <c r="J1762">
        <v>1590</v>
      </c>
      <c r="K1762">
        <v>484335</v>
      </c>
      <c r="L1762" t="s">
        <v>1311</v>
      </c>
      <c r="M1762" t="str">
        <f>"912406610SW"</f>
        <v>912406610SW</v>
      </c>
      <c r="N1762" t="str">
        <f>"912-40-6610 SW"</f>
        <v>912-40-6610 SW</v>
      </c>
      <c r="O1762" t="str">
        <f>""</f>
        <v/>
      </c>
      <c r="P1762" t="s">
        <v>1020</v>
      </c>
      <c r="Q1762" t="str">
        <f>"5901159073608"</f>
        <v>5901159073608</v>
      </c>
      <c r="R1762" t="s">
        <v>1429</v>
      </c>
      <c r="T1762" t="s">
        <v>1430</v>
      </c>
      <c r="U1762">
        <v>685</v>
      </c>
      <c r="V1762" t="s">
        <v>1020</v>
      </c>
      <c r="W1762" t="s">
        <v>1024</v>
      </c>
      <c r="X1762" t="s">
        <v>1025</v>
      </c>
    </row>
    <row r="1763" spans="1:25">
      <c r="A1763">
        <v>13531</v>
      </c>
      <c r="B1763" t="s">
        <v>25</v>
      </c>
      <c r="C1763" t="str">
        <f t="shared" si="56"/>
        <v>INTEGRA Saloon</v>
      </c>
      <c r="D1763" t="str">
        <f t="shared" si="55"/>
        <v>1.6 i</v>
      </c>
      <c r="E1763" t="s">
        <v>26</v>
      </c>
      <c r="F1763">
        <v>198501</v>
      </c>
      <c r="G1763">
        <v>199012</v>
      </c>
      <c r="H1763">
        <v>88</v>
      </c>
      <c r="I1763">
        <v>120</v>
      </c>
      <c r="J1763">
        <v>1590</v>
      </c>
      <c r="K1763">
        <v>3034487</v>
      </c>
      <c r="L1763" t="s">
        <v>33</v>
      </c>
      <c r="M1763" t="str">
        <f>"J5384019"</f>
        <v>J5384019</v>
      </c>
      <c r="N1763" t="str">
        <f>"J5384019"</f>
        <v>J5384019</v>
      </c>
      <c r="O1763" t="str">
        <f>""</f>
        <v/>
      </c>
      <c r="P1763" t="s">
        <v>1020</v>
      </c>
      <c r="Q1763" t="str">
        <f>"8711768083960"</f>
        <v>8711768083960</v>
      </c>
      <c r="R1763" t="s">
        <v>1431</v>
      </c>
      <c r="S1763" t="s">
        <v>1432</v>
      </c>
      <c r="T1763" s="1" t="s">
        <v>1680</v>
      </c>
      <c r="U1763">
        <v>685</v>
      </c>
      <c r="V1763" t="s">
        <v>1020</v>
      </c>
      <c r="W1763" t="s">
        <v>1024</v>
      </c>
      <c r="X1763" t="s">
        <v>1025</v>
      </c>
    </row>
    <row r="1764" spans="1:25">
      <c r="A1764">
        <v>13531</v>
      </c>
      <c r="B1764" t="s">
        <v>25</v>
      </c>
      <c r="C1764" t="str">
        <f t="shared" si="56"/>
        <v>INTEGRA Saloon</v>
      </c>
      <c r="D1764" t="str">
        <f t="shared" si="55"/>
        <v>1.6 i</v>
      </c>
      <c r="E1764" t="s">
        <v>26</v>
      </c>
      <c r="F1764">
        <v>198501</v>
      </c>
      <c r="G1764">
        <v>199012</v>
      </c>
      <c r="H1764">
        <v>88</v>
      </c>
      <c r="I1764">
        <v>120</v>
      </c>
      <c r="J1764">
        <v>1590</v>
      </c>
      <c r="K1764">
        <v>3747353</v>
      </c>
      <c r="L1764" t="s">
        <v>1026</v>
      </c>
      <c r="M1764" t="str">
        <f>"JP102"</f>
        <v>JP102</v>
      </c>
      <c r="N1764" t="str">
        <f>"JP102"</f>
        <v>JP102</v>
      </c>
      <c r="O1764" t="str">
        <f>""</f>
        <v/>
      </c>
      <c r="P1764" t="s">
        <v>1020</v>
      </c>
      <c r="Q1764" t="str">
        <f>"5902925010797"</f>
        <v>5902925010797</v>
      </c>
      <c r="R1764" t="s">
        <v>1434</v>
      </c>
      <c r="T1764" t="s">
        <v>1435</v>
      </c>
      <c r="U1764">
        <v>685</v>
      </c>
      <c r="V1764" t="s">
        <v>1020</v>
      </c>
      <c r="W1764" t="s">
        <v>1024</v>
      </c>
      <c r="X1764" t="s">
        <v>1025</v>
      </c>
    </row>
    <row r="1765" spans="1:25">
      <c r="A1765">
        <v>13531</v>
      </c>
      <c r="B1765" t="s">
        <v>25</v>
      </c>
      <c r="C1765" t="str">
        <f t="shared" si="56"/>
        <v>INTEGRA Saloon</v>
      </c>
      <c r="D1765" t="str">
        <f t="shared" si="55"/>
        <v>1.6 i</v>
      </c>
      <c r="E1765" t="s">
        <v>26</v>
      </c>
      <c r="F1765">
        <v>198501</v>
      </c>
      <c r="G1765">
        <v>199012</v>
      </c>
      <c r="H1765">
        <v>88</v>
      </c>
      <c r="I1765">
        <v>120</v>
      </c>
      <c r="J1765">
        <v>1590</v>
      </c>
      <c r="K1765">
        <v>3747588</v>
      </c>
      <c r="L1765" t="s">
        <v>1026</v>
      </c>
      <c r="M1765" t="str">
        <f>"JPE102"</f>
        <v>JPE102</v>
      </c>
      <c r="N1765" t="str">
        <f>"JPE102"</f>
        <v>JPE102</v>
      </c>
      <c r="O1765" t="str">
        <f>""</f>
        <v/>
      </c>
      <c r="P1765" t="s">
        <v>1020</v>
      </c>
      <c r="Q1765" t="str">
        <f>"5902925016331"</f>
        <v>5902925016331</v>
      </c>
      <c r="R1765" t="s">
        <v>1436</v>
      </c>
      <c r="T1765" t="s">
        <v>1437</v>
      </c>
      <c r="U1765">
        <v>685</v>
      </c>
      <c r="V1765" t="s">
        <v>1020</v>
      </c>
      <c r="W1765" t="s">
        <v>1024</v>
      </c>
      <c r="X1765" t="s">
        <v>1025</v>
      </c>
    </row>
    <row r="1766" spans="1:25">
      <c r="A1766">
        <v>13531</v>
      </c>
      <c r="B1766" t="s">
        <v>25</v>
      </c>
      <c r="C1766" t="str">
        <f t="shared" si="56"/>
        <v>INTEGRA Saloon</v>
      </c>
      <c r="D1766" t="str">
        <f t="shared" si="55"/>
        <v>1.6 i</v>
      </c>
      <c r="E1766" t="s">
        <v>26</v>
      </c>
      <c r="F1766">
        <v>198501</v>
      </c>
      <c r="G1766">
        <v>199012</v>
      </c>
      <c r="H1766">
        <v>88</v>
      </c>
      <c r="I1766">
        <v>120</v>
      </c>
      <c r="J1766">
        <v>1590</v>
      </c>
      <c r="K1766">
        <v>4376495</v>
      </c>
      <c r="L1766" t="s">
        <v>507</v>
      </c>
      <c r="M1766" t="str">
        <f>"1038167SX"</f>
        <v>1038167SX</v>
      </c>
      <c r="N1766" t="str">
        <f>"10-38167-SX"</f>
        <v>10-38167-SX</v>
      </c>
      <c r="O1766" t="str">
        <f>""</f>
        <v/>
      </c>
      <c r="P1766" t="s">
        <v>1020</v>
      </c>
      <c r="Q1766" t="str">
        <f>""</f>
        <v/>
      </c>
      <c r="R1766" t="s">
        <v>1438</v>
      </c>
      <c r="T1766" s="1" t="s">
        <v>1439</v>
      </c>
      <c r="U1766">
        <v>685</v>
      </c>
      <c r="V1766" t="s">
        <v>1020</v>
      </c>
      <c r="W1766" t="s">
        <v>1024</v>
      </c>
      <c r="X1766" t="s">
        <v>1025</v>
      </c>
    </row>
    <row r="1767" spans="1:25">
      <c r="A1767">
        <v>13531</v>
      </c>
      <c r="B1767" t="s">
        <v>25</v>
      </c>
      <c r="C1767" t="str">
        <f t="shared" si="56"/>
        <v>INTEGRA Saloon</v>
      </c>
      <c r="D1767" t="str">
        <f t="shared" si="55"/>
        <v>1.6 i</v>
      </c>
      <c r="E1767" t="s">
        <v>26</v>
      </c>
      <c r="F1767">
        <v>198501</v>
      </c>
      <c r="G1767">
        <v>199012</v>
      </c>
      <c r="H1767">
        <v>88</v>
      </c>
      <c r="I1767">
        <v>120</v>
      </c>
      <c r="J1767">
        <v>1590</v>
      </c>
      <c r="K1767">
        <v>3960449</v>
      </c>
      <c r="L1767" t="s">
        <v>27</v>
      </c>
      <c r="M1767" t="str">
        <f>"B21045"</f>
        <v>B21045</v>
      </c>
      <c r="N1767" t="str">
        <f>"B210-45"</f>
        <v>B210-45</v>
      </c>
      <c r="O1767" t="str">
        <f>""</f>
        <v/>
      </c>
      <c r="P1767" t="s">
        <v>1033</v>
      </c>
      <c r="Q1767" t="str">
        <f>""</f>
        <v/>
      </c>
      <c r="T1767" t="s">
        <v>1042</v>
      </c>
      <c r="U1767">
        <v>686</v>
      </c>
      <c r="V1767" t="s">
        <v>1033</v>
      </c>
      <c r="W1767" t="s">
        <v>1033</v>
      </c>
      <c r="X1767" t="s">
        <v>1025</v>
      </c>
    </row>
    <row r="1768" spans="1:25">
      <c r="A1768">
        <v>13531</v>
      </c>
      <c r="B1768" t="s">
        <v>25</v>
      </c>
      <c r="C1768" t="str">
        <f t="shared" si="56"/>
        <v>INTEGRA Saloon</v>
      </c>
      <c r="D1768" t="str">
        <f t="shared" si="55"/>
        <v>1.6 i</v>
      </c>
      <c r="E1768" t="s">
        <v>26</v>
      </c>
      <c r="F1768">
        <v>198501</v>
      </c>
      <c r="G1768">
        <v>199012</v>
      </c>
      <c r="H1768">
        <v>88</v>
      </c>
      <c r="I1768">
        <v>120</v>
      </c>
      <c r="J1768">
        <v>1590</v>
      </c>
      <c r="K1768">
        <v>516802</v>
      </c>
      <c r="L1768" t="s">
        <v>1440</v>
      </c>
      <c r="M1768" t="str">
        <f>"CP205"</f>
        <v>CP205</v>
      </c>
      <c r="N1768" t="str">
        <f>"CP205"</f>
        <v>CP205</v>
      </c>
      <c r="O1768" t="str">
        <f>""</f>
        <v/>
      </c>
      <c r="P1768" t="s">
        <v>1441</v>
      </c>
      <c r="Q1768" t="str">
        <f>"5012225326303"</f>
        <v>5012225326303</v>
      </c>
      <c r="R1768" t="s">
        <v>1442</v>
      </c>
      <c r="S1768" t="s">
        <v>1443</v>
      </c>
      <c r="T1768" s="1" t="s">
        <v>1444</v>
      </c>
      <c r="U1768">
        <v>689</v>
      </c>
      <c r="V1768" t="s">
        <v>1441</v>
      </c>
      <c r="W1768" t="s">
        <v>1441</v>
      </c>
      <c r="X1768" t="s">
        <v>1025</v>
      </c>
    </row>
    <row r="1769" spans="1:25">
      <c r="A1769">
        <v>13531</v>
      </c>
      <c r="B1769" t="s">
        <v>25</v>
      </c>
      <c r="C1769" t="str">
        <f t="shared" si="56"/>
        <v>INTEGRA Saloon</v>
      </c>
      <c r="D1769" t="str">
        <f t="shared" si="55"/>
        <v>1.6 i</v>
      </c>
      <c r="E1769" t="s">
        <v>26</v>
      </c>
      <c r="F1769">
        <v>198501</v>
      </c>
      <c r="G1769">
        <v>199012</v>
      </c>
      <c r="H1769">
        <v>88</v>
      </c>
      <c r="I1769">
        <v>120</v>
      </c>
      <c r="J1769">
        <v>1590</v>
      </c>
      <c r="K1769">
        <v>1148045</v>
      </c>
      <c r="L1769" t="s">
        <v>1445</v>
      </c>
      <c r="M1769" t="str">
        <f>"ZS276"</f>
        <v>ZS276</v>
      </c>
      <c r="N1769" t="str">
        <f>"ZS276"</f>
        <v>ZS276</v>
      </c>
      <c r="O1769" t="str">
        <f>"0040100276"</f>
        <v>0040100276</v>
      </c>
      <c r="P1769" t="s">
        <v>1441</v>
      </c>
      <c r="Q1769" t="str">
        <f>"4014427072850"</f>
        <v>4014427072850</v>
      </c>
      <c r="R1769" t="s">
        <v>1446</v>
      </c>
      <c r="T1769" t="s">
        <v>1447</v>
      </c>
      <c r="U1769">
        <v>689</v>
      </c>
      <c r="V1769" t="s">
        <v>1441</v>
      </c>
      <c r="W1769" t="s">
        <v>1441</v>
      </c>
      <c r="X1769" t="s">
        <v>1025</v>
      </c>
    </row>
    <row r="1770" spans="1:25">
      <c r="A1770">
        <v>13531</v>
      </c>
      <c r="B1770" t="s">
        <v>25</v>
      </c>
      <c r="C1770" t="str">
        <f t="shared" si="56"/>
        <v>INTEGRA Saloon</v>
      </c>
      <c r="D1770" t="str">
        <f t="shared" si="55"/>
        <v>1.6 i</v>
      </c>
      <c r="E1770" t="s">
        <v>26</v>
      </c>
      <c r="F1770">
        <v>198501</v>
      </c>
      <c r="G1770">
        <v>199012</v>
      </c>
      <c r="H1770">
        <v>88</v>
      </c>
      <c r="I1770">
        <v>120</v>
      </c>
      <c r="J1770">
        <v>1590</v>
      </c>
      <c r="K1770">
        <v>1199105</v>
      </c>
      <c r="L1770" t="s">
        <v>1448</v>
      </c>
      <c r="M1770" t="str">
        <f>"48098"</f>
        <v>48098</v>
      </c>
      <c r="N1770" t="str">
        <f>"48098"</f>
        <v>48098</v>
      </c>
      <c r="O1770" t="str">
        <f>"U1016"</f>
        <v>U1016</v>
      </c>
      <c r="P1770" t="s">
        <v>1441</v>
      </c>
      <c r="Q1770" t="str">
        <f>"4010326480987"</f>
        <v>4010326480987</v>
      </c>
      <c r="R1770" t="s">
        <v>1449</v>
      </c>
      <c r="S1770" t="s">
        <v>1681</v>
      </c>
      <c r="T1770" s="1" t="s">
        <v>1451</v>
      </c>
      <c r="U1770">
        <v>689</v>
      </c>
      <c r="V1770" t="s">
        <v>1441</v>
      </c>
      <c r="W1770" t="s">
        <v>1441</v>
      </c>
      <c r="X1770" t="s">
        <v>1025</v>
      </c>
    </row>
    <row r="1771" spans="1:25">
      <c r="A1771">
        <v>13531</v>
      </c>
      <c r="B1771" t="s">
        <v>25</v>
      </c>
      <c r="C1771" t="str">
        <f t="shared" si="56"/>
        <v>INTEGRA Saloon</v>
      </c>
      <c r="D1771" t="str">
        <f t="shared" si="55"/>
        <v>1.6 i</v>
      </c>
      <c r="E1771" t="s">
        <v>26</v>
      </c>
      <c r="F1771">
        <v>198501</v>
      </c>
      <c r="G1771">
        <v>199012</v>
      </c>
      <c r="H1771">
        <v>88</v>
      </c>
      <c r="I1771">
        <v>120</v>
      </c>
      <c r="J1771">
        <v>1590</v>
      </c>
      <c r="K1771">
        <v>1793332</v>
      </c>
      <c r="L1771" t="s">
        <v>930</v>
      </c>
      <c r="M1771" t="str">
        <f>"XIC8116"</f>
        <v>XIC8116</v>
      </c>
      <c r="N1771" t="str">
        <f>"XIC8116"</f>
        <v>XIC8116</v>
      </c>
      <c r="O1771" t="str">
        <f>""</f>
        <v/>
      </c>
      <c r="P1771" t="s">
        <v>1441</v>
      </c>
      <c r="Q1771" t="str">
        <f>"5022515065065"</f>
        <v>5022515065065</v>
      </c>
      <c r="R1771" t="s">
        <v>1442</v>
      </c>
      <c r="S1771" t="s">
        <v>1443</v>
      </c>
      <c r="T1771" s="1" t="s">
        <v>1452</v>
      </c>
      <c r="U1771">
        <v>689</v>
      </c>
      <c r="V1771" t="s">
        <v>1441</v>
      </c>
      <c r="W1771" t="s">
        <v>1441</v>
      </c>
      <c r="X1771" t="s">
        <v>1025</v>
      </c>
    </row>
    <row r="1772" spans="1:25">
      <c r="A1772">
        <v>13531</v>
      </c>
      <c r="B1772" t="s">
        <v>25</v>
      </c>
      <c r="C1772" t="str">
        <f t="shared" si="56"/>
        <v>INTEGRA Saloon</v>
      </c>
      <c r="D1772" t="str">
        <f t="shared" si="55"/>
        <v>1.6 i</v>
      </c>
      <c r="E1772" t="s">
        <v>26</v>
      </c>
      <c r="F1772">
        <v>198501</v>
      </c>
      <c r="G1772">
        <v>199012</v>
      </c>
      <c r="H1772">
        <v>88</v>
      </c>
      <c r="I1772">
        <v>120</v>
      </c>
      <c r="J1772">
        <v>1590</v>
      </c>
      <c r="K1772">
        <v>2594573</v>
      </c>
      <c r="L1772" t="s">
        <v>1453</v>
      </c>
      <c r="M1772" t="str">
        <f>"96112"</f>
        <v>96112</v>
      </c>
      <c r="N1772" t="str">
        <f>"9.6112"</f>
        <v>9.6112</v>
      </c>
      <c r="O1772" t="str">
        <f>"EPS 1.970.212"</f>
        <v>EPS 1.970.212</v>
      </c>
      <c r="P1772" t="s">
        <v>1441</v>
      </c>
      <c r="Q1772" t="str">
        <f>"8012510057278"</f>
        <v>8012510057278</v>
      </c>
      <c r="S1772" t="s">
        <v>1682</v>
      </c>
      <c r="T1772" t="s">
        <v>1455</v>
      </c>
      <c r="U1772">
        <v>689</v>
      </c>
      <c r="V1772" t="s">
        <v>1441</v>
      </c>
      <c r="W1772" t="s">
        <v>1441</v>
      </c>
      <c r="X1772" t="s">
        <v>1025</v>
      </c>
    </row>
    <row r="1773" spans="1:25">
      <c r="A1773">
        <v>13531</v>
      </c>
      <c r="B1773" t="s">
        <v>25</v>
      </c>
      <c r="C1773" t="str">
        <f t="shared" si="56"/>
        <v>INTEGRA Saloon</v>
      </c>
      <c r="D1773" t="str">
        <f t="shared" si="55"/>
        <v>1.6 i</v>
      </c>
      <c r="E1773" t="s">
        <v>26</v>
      </c>
      <c r="F1773">
        <v>198501</v>
      </c>
      <c r="G1773">
        <v>199012</v>
      </c>
      <c r="H1773">
        <v>88</v>
      </c>
      <c r="I1773">
        <v>120</v>
      </c>
      <c r="J1773">
        <v>1590</v>
      </c>
      <c r="K1773">
        <v>2594574</v>
      </c>
      <c r="L1773" t="s">
        <v>1453</v>
      </c>
      <c r="M1773" t="str">
        <f>"96113"</f>
        <v>96113</v>
      </c>
      <c r="N1773" t="str">
        <f>"9.6113"</f>
        <v>9.6113</v>
      </c>
      <c r="O1773" t="str">
        <f>"EPS 1.970.213"</f>
        <v>EPS 1.970.213</v>
      </c>
      <c r="P1773" t="s">
        <v>1441</v>
      </c>
      <c r="Q1773" t="str">
        <f>"8012510057285"</f>
        <v>8012510057285</v>
      </c>
      <c r="S1773" t="s">
        <v>1683</v>
      </c>
      <c r="T1773" s="1" t="s">
        <v>1457</v>
      </c>
      <c r="U1773">
        <v>689</v>
      </c>
      <c r="V1773" t="s">
        <v>1441</v>
      </c>
      <c r="W1773" t="s">
        <v>1441</v>
      </c>
      <c r="X1773" t="s">
        <v>1025</v>
      </c>
    </row>
    <row r="1774" spans="1:25">
      <c r="A1774">
        <v>13531</v>
      </c>
      <c r="B1774" t="s">
        <v>25</v>
      </c>
      <c r="C1774" t="str">
        <f t="shared" si="56"/>
        <v>INTEGRA Saloon</v>
      </c>
      <c r="D1774" t="str">
        <f t="shared" si="55"/>
        <v>1.6 i</v>
      </c>
      <c r="E1774" t="s">
        <v>26</v>
      </c>
      <c r="F1774">
        <v>198501</v>
      </c>
      <c r="G1774">
        <v>199012</v>
      </c>
      <c r="H1774">
        <v>88</v>
      </c>
      <c r="I1774">
        <v>120</v>
      </c>
      <c r="J1774">
        <v>1590</v>
      </c>
      <c r="K1774">
        <v>2706957</v>
      </c>
      <c r="L1774" t="s">
        <v>1458</v>
      </c>
      <c r="M1774" t="str">
        <f>"V26700001"</f>
        <v>V26700001</v>
      </c>
      <c r="N1774" t="str">
        <f>"V26-70-0001"</f>
        <v>V26-70-0001</v>
      </c>
      <c r="O1774" t="str">
        <f>""</f>
        <v/>
      </c>
      <c r="P1774" t="s">
        <v>1441</v>
      </c>
      <c r="Q1774" t="str">
        <f>"4046001424922"</f>
        <v>4046001424922</v>
      </c>
      <c r="R1774" t="s">
        <v>1459</v>
      </c>
      <c r="T1774" s="1" t="s">
        <v>1460</v>
      </c>
      <c r="U1774">
        <v>689</v>
      </c>
      <c r="V1774" t="s">
        <v>1441</v>
      </c>
      <c r="W1774" t="s">
        <v>1441</v>
      </c>
      <c r="X1774" t="s">
        <v>1025</v>
      </c>
    </row>
    <row r="1775" spans="1:25">
      <c r="A1775">
        <v>13531</v>
      </c>
      <c r="B1775" t="s">
        <v>25</v>
      </c>
      <c r="C1775" t="str">
        <f t="shared" si="56"/>
        <v>INTEGRA Saloon</v>
      </c>
      <c r="D1775" t="str">
        <f t="shared" si="55"/>
        <v>1.6 i</v>
      </c>
      <c r="E1775" t="s">
        <v>26</v>
      </c>
      <c r="F1775">
        <v>198501</v>
      </c>
      <c r="G1775">
        <v>199012</v>
      </c>
      <c r="H1775">
        <v>88</v>
      </c>
      <c r="I1775">
        <v>120</v>
      </c>
      <c r="J1775">
        <v>1590</v>
      </c>
      <c r="K1775">
        <v>2953352</v>
      </c>
      <c r="L1775" t="s">
        <v>1463</v>
      </c>
      <c r="M1775" t="str">
        <f>"880052"</f>
        <v>880052</v>
      </c>
      <c r="N1775" t="str">
        <f>"880052"</f>
        <v>880052</v>
      </c>
      <c r="O1775" t="str">
        <f>""</f>
        <v/>
      </c>
      <c r="P1775" t="s">
        <v>1441</v>
      </c>
      <c r="Q1775" t="str">
        <f>""</f>
        <v/>
      </c>
      <c r="R1775" t="s">
        <v>1464</v>
      </c>
      <c r="T1775" s="1" t="s">
        <v>1465</v>
      </c>
      <c r="U1775">
        <v>689</v>
      </c>
      <c r="V1775" t="s">
        <v>1441</v>
      </c>
      <c r="W1775" t="s">
        <v>1441</v>
      </c>
      <c r="X1775" t="s">
        <v>1025</v>
      </c>
    </row>
    <row r="1776" spans="1:25">
      <c r="A1776">
        <v>13531</v>
      </c>
      <c r="B1776" t="s">
        <v>25</v>
      </c>
      <c r="C1776" t="str">
        <f t="shared" si="56"/>
        <v>INTEGRA Saloon</v>
      </c>
      <c r="D1776" t="str">
        <f t="shared" si="55"/>
        <v>1.6 i</v>
      </c>
      <c r="E1776" t="s">
        <v>26</v>
      </c>
      <c r="F1776">
        <v>198501</v>
      </c>
      <c r="G1776">
        <v>199012</v>
      </c>
      <c r="H1776">
        <v>88</v>
      </c>
      <c r="I1776">
        <v>120</v>
      </c>
      <c r="J1776">
        <v>1590</v>
      </c>
      <c r="K1776">
        <v>3034328</v>
      </c>
      <c r="L1776" t="s">
        <v>33</v>
      </c>
      <c r="M1776" t="str">
        <f>"J5363001"</f>
        <v>J5363001</v>
      </c>
      <c r="N1776" t="str">
        <f>"J5363001"</f>
        <v>J5363001</v>
      </c>
      <c r="O1776" t="str">
        <f>""</f>
        <v/>
      </c>
      <c r="P1776" t="s">
        <v>1441</v>
      </c>
      <c r="Q1776" t="str">
        <f>"8711768152048"</f>
        <v>8711768152048</v>
      </c>
      <c r="R1776" t="s">
        <v>1684</v>
      </c>
      <c r="T1776" t="s">
        <v>1685</v>
      </c>
      <c r="U1776">
        <v>689</v>
      </c>
      <c r="V1776" t="s">
        <v>1441</v>
      </c>
      <c r="W1776" t="s">
        <v>1441</v>
      </c>
      <c r="X1776" t="s">
        <v>1025</v>
      </c>
    </row>
    <row r="1777" spans="1:25">
      <c r="A1777">
        <v>13531</v>
      </c>
      <c r="B1777" t="s">
        <v>25</v>
      </c>
      <c r="C1777" t="str">
        <f t="shared" si="56"/>
        <v>INTEGRA Saloon</v>
      </c>
      <c r="D1777" t="str">
        <f t="shared" si="55"/>
        <v>1.6 i</v>
      </c>
      <c r="E1777" t="s">
        <v>26</v>
      </c>
      <c r="F1777">
        <v>198501</v>
      </c>
      <c r="G1777">
        <v>199012</v>
      </c>
      <c r="H1777">
        <v>88</v>
      </c>
      <c r="I1777">
        <v>120</v>
      </c>
      <c r="J1777">
        <v>1590</v>
      </c>
      <c r="K1777">
        <v>3178720</v>
      </c>
      <c r="L1777" t="s">
        <v>1440</v>
      </c>
      <c r="M1777" t="str">
        <f>"12618"</f>
        <v>12618</v>
      </c>
      <c r="N1777" t="str">
        <f>"12618"</f>
        <v>12618</v>
      </c>
      <c r="O1777" t="str">
        <f>""</f>
        <v/>
      </c>
      <c r="P1777" t="s">
        <v>1441</v>
      </c>
      <c r="Q1777" t="str">
        <f>"5012225089581"</f>
        <v>5012225089581</v>
      </c>
      <c r="R1777" t="s">
        <v>1442</v>
      </c>
      <c r="S1777" t="s">
        <v>1443</v>
      </c>
      <c r="T1777" s="1" t="s">
        <v>1466</v>
      </c>
      <c r="U1777">
        <v>689</v>
      </c>
      <c r="V1777" t="s">
        <v>1441</v>
      </c>
      <c r="W1777" t="s">
        <v>1441</v>
      </c>
      <c r="X1777" t="s">
        <v>1025</v>
      </c>
    </row>
    <row r="1778" spans="1:25">
      <c r="A1778">
        <v>13531</v>
      </c>
      <c r="B1778" t="s">
        <v>25</v>
      </c>
      <c r="C1778" t="str">
        <f t="shared" si="56"/>
        <v>INTEGRA Saloon</v>
      </c>
      <c r="D1778" t="str">
        <f t="shared" si="55"/>
        <v>1.6 i</v>
      </c>
      <c r="E1778" t="s">
        <v>26</v>
      </c>
      <c r="F1778">
        <v>198501</v>
      </c>
      <c r="G1778">
        <v>199012</v>
      </c>
      <c r="H1778">
        <v>88</v>
      </c>
      <c r="I1778">
        <v>120</v>
      </c>
      <c r="J1778">
        <v>1590</v>
      </c>
      <c r="K1778">
        <v>3187809</v>
      </c>
      <c r="L1778" t="s">
        <v>1440</v>
      </c>
      <c r="M1778" t="str">
        <f>"CU1064"</f>
        <v>CU1064</v>
      </c>
      <c r="N1778" t="str">
        <f>"CU1064"</f>
        <v>CU1064</v>
      </c>
      <c r="O1778" t="str">
        <f>""</f>
        <v/>
      </c>
      <c r="P1778" t="s">
        <v>1441</v>
      </c>
      <c r="Q1778" t="str">
        <f>"5029406115809"</f>
        <v>5029406115809</v>
      </c>
      <c r="R1778" t="s">
        <v>1442</v>
      </c>
      <c r="S1778" t="s">
        <v>1443</v>
      </c>
      <c r="T1778" s="1" t="s">
        <v>1466</v>
      </c>
      <c r="U1778">
        <v>689</v>
      </c>
      <c r="V1778" t="s">
        <v>1441</v>
      </c>
      <c r="W1778" t="s">
        <v>1441</v>
      </c>
      <c r="X1778" t="s">
        <v>1025</v>
      </c>
    </row>
    <row r="1779" spans="1:25">
      <c r="A1779">
        <v>13531</v>
      </c>
      <c r="B1779" t="s">
        <v>25</v>
      </c>
      <c r="C1779" t="str">
        <f t="shared" si="56"/>
        <v>INTEGRA Saloon</v>
      </c>
      <c r="D1779" t="str">
        <f t="shared" si="55"/>
        <v>1.6 i</v>
      </c>
      <c r="E1779" t="s">
        <v>26</v>
      </c>
      <c r="F1779">
        <v>198501</v>
      </c>
      <c r="G1779">
        <v>199012</v>
      </c>
      <c r="H1779">
        <v>88</v>
      </c>
      <c r="I1779">
        <v>120</v>
      </c>
      <c r="J1779">
        <v>1590</v>
      </c>
      <c r="K1779">
        <v>3191943</v>
      </c>
      <c r="L1779" t="s">
        <v>1440</v>
      </c>
      <c r="M1779" t="str">
        <f>"IIS163"</f>
        <v>IIS163</v>
      </c>
      <c r="N1779" t="str">
        <f>"IIS163"</f>
        <v>IIS163</v>
      </c>
      <c r="O1779" t="str">
        <f>""</f>
        <v/>
      </c>
      <c r="P1779" t="s">
        <v>1441</v>
      </c>
      <c r="Q1779" t="str">
        <f>"5012225198429"</f>
        <v>5012225198429</v>
      </c>
      <c r="R1779" t="s">
        <v>1442</v>
      </c>
      <c r="S1779" t="s">
        <v>1443</v>
      </c>
      <c r="T1779" s="1" t="s">
        <v>1466</v>
      </c>
      <c r="U1779">
        <v>689</v>
      </c>
      <c r="V1779" t="s">
        <v>1441</v>
      </c>
      <c r="W1779" t="s">
        <v>1441</v>
      </c>
      <c r="X1779" t="s">
        <v>1025</v>
      </c>
    </row>
    <row r="1780" spans="1:25">
      <c r="A1780">
        <v>13531</v>
      </c>
      <c r="B1780" t="s">
        <v>25</v>
      </c>
      <c r="C1780" t="str">
        <f t="shared" si="56"/>
        <v>INTEGRA Saloon</v>
      </c>
      <c r="D1780" t="str">
        <f t="shared" si="55"/>
        <v>1.6 i</v>
      </c>
      <c r="E1780" t="s">
        <v>26</v>
      </c>
      <c r="F1780">
        <v>198501</v>
      </c>
      <c r="G1780">
        <v>199012</v>
      </c>
      <c r="H1780">
        <v>88</v>
      </c>
      <c r="I1780">
        <v>120</v>
      </c>
      <c r="J1780">
        <v>1590</v>
      </c>
      <c r="K1780">
        <v>3214572</v>
      </c>
      <c r="L1780" t="s">
        <v>298</v>
      </c>
      <c r="M1780" t="str">
        <f>"600046"</f>
        <v>600046</v>
      </c>
      <c r="N1780" t="str">
        <f>"60-0046"</f>
        <v>60-0046</v>
      </c>
      <c r="O1780" t="str">
        <f>""</f>
        <v/>
      </c>
      <c r="P1780" t="s">
        <v>1441</v>
      </c>
      <c r="Q1780" t="str">
        <f>""</f>
        <v/>
      </c>
      <c r="T1780" t="s">
        <v>1686</v>
      </c>
      <c r="U1780">
        <v>689</v>
      </c>
      <c r="V1780" t="s">
        <v>1441</v>
      </c>
      <c r="W1780" t="s">
        <v>1441</v>
      </c>
      <c r="X1780" t="s">
        <v>1025</v>
      </c>
    </row>
    <row r="1781" spans="1:25">
      <c r="A1781">
        <v>13531</v>
      </c>
      <c r="B1781" t="s">
        <v>25</v>
      </c>
      <c r="C1781" t="str">
        <f t="shared" si="56"/>
        <v>INTEGRA Saloon</v>
      </c>
      <c r="D1781" t="str">
        <f t="shared" si="55"/>
        <v>1.6 i</v>
      </c>
      <c r="E1781" t="s">
        <v>26</v>
      </c>
      <c r="F1781">
        <v>198501</v>
      </c>
      <c r="G1781">
        <v>199012</v>
      </c>
      <c r="H1781">
        <v>88</v>
      </c>
      <c r="I1781">
        <v>120</v>
      </c>
      <c r="J1781">
        <v>1590</v>
      </c>
      <c r="K1781">
        <v>3606226</v>
      </c>
      <c r="L1781" t="s">
        <v>1468</v>
      </c>
      <c r="M1781" t="str">
        <f>"CL500"</f>
        <v>CL500</v>
      </c>
      <c r="N1781" t="str">
        <f>"CL500"</f>
        <v>CL500</v>
      </c>
      <c r="O1781" t="str">
        <f>""</f>
        <v/>
      </c>
      <c r="P1781" t="s">
        <v>1441</v>
      </c>
      <c r="Q1781" t="str">
        <f>"8595141023442"</f>
        <v>8595141023442</v>
      </c>
      <c r="T1781" t="s">
        <v>1469</v>
      </c>
      <c r="U1781">
        <v>689</v>
      </c>
      <c r="V1781" t="s">
        <v>1441</v>
      </c>
      <c r="W1781" t="s">
        <v>1441</v>
      </c>
      <c r="X1781" t="s">
        <v>1025</v>
      </c>
    </row>
    <row r="1782" spans="1:25">
      <c r="A1782">
        <v>13531</v>
      </c>
      <c r="B1782" t="s">
        <v>25</v>
      </c>
      <c r="C1782" t="str">
        <f t="shared" si="56"/>
        <v>INTEGRA Saloon</v>
      </c>
      <c r="D1782" t="str">
        <f t="shared" si="55"/>
        <v>1.6 i</v>
      </c>
      <c r="E1782" t="s">
        <v>26</v>
      </c>
      <c r="F1782">
        <v>198501</v>
      </c>
      <c r="G1782">
        <v>199012</v>
      </c>
      <c r="H1782">
        <v>88</v>
      </c>
      <c r="I1782">
        <v>120</v>
      </c>
      <c r="J1782">
        <v>1590</v>
      </c>
      <c r="K1782">
        <v>3747004</v>
      </c>
      <c r="L1782" t="s">
        <v>1026</v>
      </c>
      <c r="M1782" t="str">
        <f>"JM5191"</f>
        <v>JM5191</v>
      </c>
      <c r="N1782" t="str">
        <f>"JM5191"</f>
        <v>JM5191</v>
      </c>
      <c r="O1782" t="str">
        <f>""</f>
        <v/>
      </c>
      <c r="P1782" t="s">
        <v>1441</v>
      </c>
      <c r="Q1782" t="str">
        <f>"5902925207180"</f>
        <v>5902925207180</v>
      </c>
      <c r="R1782" t="s">
        <v>1470</v>
      </c>
      <c r="T1782" t="s">
        <v>1471</v>
      </c>
      <c r="U1782">
        <v>689</v>
      </c>
      <c r="V1782" t="s">
        <v>1441</v>
      </c>
      <c r="W1782" t="s">
        <v>1441</v>
      </c>
      <c r="X1782" t="s">
        <v>1025</v>
      </c>
    </row>
    <row r="1783" spans="1:25">
      <c r="A1783">
        <v>13531</v>
      </c>
      <c r="B1783" t="s">
        <v>25</v>
      </c>
      <c r="C1783" t="str">
        <f t="shared" si="56"/>
        <v>INTEGRA Saloon</v>
      </c>
      <c r="D1783" t="str">
        <f t="shared" ref="D1783:D1846" si="57">"1.6 i"</f>
        <v>1.6 i</v>
      </c>
      <c r="E1783" t="s">
        <v>26</v>
      </c>
      <c r="F1783">
        <v>198501</v>
      </c>
      <c r="G1783">
        <v>199012</v>
      </c>
      <c r="H1783">
        <v>88</v>
      </c>
      <c r="I1783">
        <v>120</v>
      </c>
      <c r="J1783">
        <v>1590</v>
      </c>
      <c r="K1783">
        <v>3965218</v>
      </c>
      <c r="L1783" t="s">
        <v>27</v>
      </c>
      <c r="M1783" t="str">
        <f>"H95519"</f>
        <v>H95519</v>
      </c>
      <c r="N1783" t="str">
        <f>"H955-19"</f>
        <v>H955-19</v>
      </c>
      <c r="O1783" t="str">
        <f>""</f>
        <v/>
      </c>
      <c r="P1783" t="s">
        <v>1441</v>
      </c>
      <c r="Q1783" t="str">
        <f>"8718993223765"</f>
        <v>8718993223765</v>
      </c>
      <c r="R1783" t="s">
        <v>1687</v>
      </c>
      <c r="T1783" s="1" t="s">
        <v>1688</v>
      </c>
      <c r="U1783">
        <v>689</v>
      </c>
      <c r="V1783" t="s">
        <v>1441</v>
      </c>
      <c r="W1783" t="s">
        <v>1441</v>
      </c>
      <c r="X1783" t="s">
        <v>1025</v>
      </c>
    </row>
    <row r="1784" spans="1:25">
      <c r="A1784">
        <v>13531</v>
      </c>
      <c r="B1784" t="s">
        <v>25</v>
      </c>
      <c r="C1784" t="str">
        <f t="shared" si="56"/>
        <v>INTEGRA Saloon</v>
      </c>
      <c r="D1784" t="str">
        <f t="shared" si="57"/>
        <v>1.6 i</v>
      </c>
      <c r="E1784" t="s">
        <v>26</v>
      </c>
      <c r="F1784">
        <v>198501</v>
      </c>
      <c r="G1784">
        <v>199012</v>
      </c>
      <c r="H1784">
        <v>88</v>
      </c>
      <c r="I1784">
        <v>120</v>
      </c>
      <c r="J1784">
        <v>1590</v>
      </c>
      <c r="K1784">
        <v>4034746</v>
      </c>
      <c r="L1784" t="s">
        <v>1472</v>
      </c>
      <c r="M1784" t="str">
        <f>"138814"</f>
        <v>138814</v>
      </c>
      <c r="N1784" t="str">
        <f>"138814"</f>
        <v>138814</v>
      </c>
      <c r="O1784" t="str">
        <f>"138814"</f>
        <v>138814</v>
      </c>
      <c r="P1784" t="s">
        <v>1441</v>
      </c>
      <c r="Q1784" t="str">
        <f>""</f>
        <v/>
      </c>
      <c r="R1784" t="s">
        <v>1473</v>
      </c>
      <c r="T1784" s="1" t="s">
        <v>1474</v>
      </c>
      <c r="U1784">
        <v>689</v>
      </c>
      <c r="V1784" t="s">
        <v>1441</v>
      </c>
      <c r="W1784" t="s">
        <v>1441</v>
      </c>
      <c r="X1784" t="s">
        <v>1025</v>
      </c>
    </row>
    <row r="1785" spans="1:25">
      <c r="A1785">
        <v>13531</v>
      </c>
      <c r="B1785" t="s">
        <v>25</v>
      </c>
      <c r="C1785" t="str">
        <f t="shared" si="56"/>
        <v>INTEGRA Saloon</v>
      </c>
      <c r="D1785" t="str">
        <f t="shared" si="57"/>
        <v>1.6 i</v>
      </c>
      <c r="E1785" t="s">
        <v>26</v>
      </c>
      <c r="F1785">
        <v>198501</v>
      </c>
      <c r="G1785">
        <v>199012</v>
      </c>
      <c r="H1785">
        <v>88</v>
      </c>
      <c r="I1785">
        <v>120</v>
      </c>
      <c r="J1785">
        <v>1590</v>
      </c>
      <c r="K1785">
        <v>4486062</v>
      </c>
      <c r="L1785" t="s">
        <v>1475</v>
      </c>
      <c r="M1785" t="str">
        <f>"CUF73"</f>
        <v>CUF73</v>
      </c>
      <c r="N1785" t="str">
        <f>"CUF73"</f>
        <v>CUF73</v>
      </c>
      <c r="O1785" t="str">
        <f>""</f>
        <v/>
      </c>
      <c r="P1785" t="s">
        <v>1441</v>
      </c>
      <c r="Q1785" t="str">
        <f>""</f>
        <v/>
      </c>
      <c r="T1785" t="s">
        <v>1476</v>
      </c>
      <c r="U1785">
        <v>689</v>
      </c>
      <c r="V1785" t="s">
        <v>1441</v>
      </c>
      <c r="W1785" t="s">
        <v>1441</v>
      </c>
      <c r="X1785" t="s">
        <v>1025</v>
      </c>
    </row>
    <row r="1786" spans="1:25">
      <c r="A1786">
        <v>13531</v>
      </c>
      <c r="B1786" t="s">
        <v>25</v>
      </c>
      <c r="C1786" t="str">
        <f t="shared" si="56"/>
        <v>INTEGRA Saloon</v>
      </c>
      <c r="D1786" t="str">
        <f t="shared" si="57"/>
        <v>1.6 i</v>
      </c>
      <c r="E1786" t="s">
        <v>26</v>
      </c>
      <c r="F1786">
        <v>198501</v>
      </c>
      <c r="G1786">
        <v>199012</v>
      </c>
      <c r="H1786">
        <v>88</v>
      </c>
      <c r="I1786">
        <v>120</v>
      </c>
      <c r="J1786">
        <v>1590</v>
      </c>
      <c r="K1786">
        <v>2591732</v>
      </c>
      <c r="L1786" t="s">
        <v>1453</v>
      </c>
      <c r="M1786" t="str">
        <f>"37956"</f>
        <v>37956</v>
      </c>
      <c r="N1786" t="str">
        <f>"3.7956"</f>
        <v>3.7956</v>
      </c>
      <c r="O1786" t="str">
        <f>"EPS 1.422.056"</f>
        <v>EPS 1.422.056</v>
      </c>
      <c r="P1786" t="s">
        <v>1043</v>
      </c>
      <c r="Q1786" t="str">
        <f>"8012510020265"</f>
        <v>8012510020265</v>
      </c>
      <c r="S1786" t="s">
        <v>1689</v>
      </c>
      <c r="T1786" s="1" t="s">
        <v>1478</v>
      </c>
      <c r="U1786">
        <v>691</v>
      </c>
      <c r="V1786" t="s">
        <v>1043</v>
      </c>
      <c r="W1786" t="s">
        <v>1043</v>
      </c>
      <c r="X1786" t="s">
        <v>1025</v>
      </c>
      <c r="Y1786" t="s">
        <v>1046</v>
      </c>
    </row>
    <row r="1787" spans="1:25">
      <c r="A1787">
        <v>13531</v>
      </c>
      <c r="B1787" t="s">
        <v>25</v>
      </c>
      <c r="C1787" t="str">
        <f t="shared" si="56"/>
        <v>INTEGRA Saloon</v>
      </c>
      <c r="D1787" t="str">
        <f t="shared" si="57"/>
        <v>1.6 i</v>
      </c>
      <c r="E1787" t="s">
        <v>26</v>
      </c>
      <c r="F1787">
        <v>198501</v>
      </c>
      <c r="G1787">
        <v>199012</v>
      </c>
      <c r="H1787">
        <v>88</v>
      </c>
      <c r="I1787">
        <v>120</v>
      </c>
      <c r="J1787">
        <v>1590</v>
      </c>
      <c r="K1787">
        <v>2591741</v>
      </c>
      <c r="L1787" t="s">
        <v>1453</v>
      </c>
      <c r="M1787" t="str">
        <f>"37982"</f>
        <v>37982</v>
      </c>
      <c r="N1787" t="str">
        <f>"3.7982"</f>
        <v>3.7982</v>
      </c>
      <c r="O1787" t="str">
        <f>"EPS 1.422.082"</f>
        <v>EPS 1.422.082</v>
      </c>
      <c r="P1787" t="s">
        <v>1043</v>
      </c>
      <c r="Q1787" t="str">
        <f>"8012510020524"</f>
        <v>8012510020524</v>
      </c>
      <c r="S1787" t="s">
        <v>1690</v>
      </c>
      <c r="T1787" t="s">
        <v>1480</v>
      </c>
      <c r="U1787">
        <v>691</v>
      </c>
      <c r="V1787" t="s">
        <v>1043</v>
      </c>
      <c r="W1787" t="s">
        <v>1043</v>
      </c>
      <c r="X1787" t="s">
        <v>1025</v>
      </c>
      <c r="Y1787" t="s">
        <v>1046</v>
      </c>
    </row>
    <row r="1788" spans="1:25">
      <c r="A1788">
        <v>13531</v>
      </c>
      <c r="B1788" t="s">
        <v>25</v>
      </c>
      <c r="C1788" t="str">
        <f t="shared" si="56"/>
        <v>INTEGRA Saloon</v>
      </c>
      <c r="D1788" t="str">
        <f t="shared" si="57"/>
        <v>1.6 i</v>
      </c>
      <c r="E1788" t="s">
        <v>26</v>
      </c>
      <c r="F1788">
        <v>198501</v>
      </c>
      <c r="G1788">
        <v>199012</v>
      </c>
      <c r="H1788">
        <v>88</v>
      </c>
      <c r="I1788">
        <v>120</v>
      </c>
      <c r="J1788">
        <v>1590</v>
      </c>
      <c r="K1788">
        <v>2591745</v>
      </c>
      <c r="L1788" t="s">
        <v>1453</v>
      </c>
      <c r="M1788" t="str">
        <f>"37991"</f>
        <v>37991</v>
      </c>
      <c r="N1788" t="str">
        <f>"3.7991"</f>
        <v>3.7991</v>
      </c>
      <c r="O1788" t="str">
        <f>"EPS 1.422.091"</f>
        <v>EPS 1.422.091</v>
      </c>
      <c r="P1788" t="s">
        <v>1043</v>
      </c>
      <c r="Q1788" t="str">
        <f>""</f>
        <v/>
      </c>
      <c r="S1788" t="s">
        <v>1691</v>
      </c>
      <c r="T1788" t="s">
        <v>1482</v>
      </c>
      <c r="U1788">
        <v>691</v>
      </c>
      <c r="V1788" t="s">
        <v>1043</v>
      </c>
      <c r="W1788" t="s">
        <v>1043</v>
      </c>
      <c r="X1788" t="s">
        <v>1025</v>
      </c>
      <c r="Y1788" t="s">
        <v>1046</v>
      </c>
    </row>
    <row r="1789" spans="1:25">
      <c r="A1789">
        <v>13531</v>
      </c>
      <c r="B1789" t="s">
        <v>25</v>
      </c>
      <c r="C1789" t="str">
        <f t="shared" si="56"/>
        <v>INTEGRA Saloon</v>
      </c>
      <c r="D1789" t="str">
        <f t="shared" si="57"/>
        <v>1.6 i</v>
      </c>
      <c r="E1789" t="s">
        <v>26</v>
      </c>
      <c r="F1789">
        <v>198501</v>
      </c>
      <c r="G1789">
        <v>199012</v>
      </c>
      <c r="H1789">
        <v>88</v>
      </c>
      <c r="I1789">
        <v>120</v>
      </c>
      <c r="J1789">
        <v>1590</v>
      </c>
      <c r="K1789">
        <v>2706964</v>
      </c>
      <c r="L1789" t="s">
        <v>1458</v>
      </c>
      <c r="M1789" t="str">
        <f>"V26700008"</f>
        <v>V26700008</v>
      </c>
      <c r="N1789" t="str">
        <f>"V26-70-0008"</f>
        <v>V26-70-0008</v>
      </c>
      <c r="O1789" t="str">
        <f>""</f>
        <v/>
      </c>
      <c r="P1789" t="s">
        <v>1043</v>
      </c>
      <c r="Q1789" t="str">
        <f>"4046001501128"</f>
        <v>4046001501128</v>
      </c>
      <c r="R1789" t="s">
        <v>1483</v>
      </c>
      <c r="S1789" t="s">
        <v>1692</v>
      </c>
      <c r="T1789" t="s">
        <v>1485</v>
      </c>
      <c r="U1789">
        <v>691</v>
      </c>
      <c r="V1789" t="s">
        <v>1043</v>
      </c>
      <c r="W1789" t="s">
        <v>1043</v>
      </c>
      <c r="X1789" t="s">
        <v>1025</v>
      </c>
      <c r="Y1789" t="s">
        <v>1046</v>
      </c>
    </row>
    <row r="1790" spans="1:25">
      <c r="A1790">
        <v>13531</v>
      </c>
      <c r="B1790" t="s">
        <v>25</v>
      </c>
      <c r="C1790" t="str">
        <f t="shared" si="56"/>
        <v>INTEGRA Saloon</v>
      </c>
      <c r="D1790" t="str">
        <f t="shared" si="57"/>
        <v>1.6 i</v>
      </c>
      <c r="E1790" t="s">
        <v>26</v>
      </c>
      <c r="F1790">
        <v>198501</v>
      </c>
      <c r="G1790">
        <v>199012</v>
      </c>
      <c r="H1790">
        <v>88</v>
      </c>
      <c r="I1790">
        <v>120</v>
      </c>
      <c r="J1790">
        <v>1590</v>
      </c>
      <c r="K1790">
        <v>2706967</v>
      </c>
      <c r="L1790" t="s">
        <v>1458</v>
      </c>
      <c r="M1790" t="str">
        <f>"V26700011"</f>
        <v>V26700011</v>
      </c>
      <c r="N1790" t="str">
        <f>"V26-70-0011"</f>
        <v>V26-70-0011</v>
      </c>
      <c r="O1790" t="str">
        <f>""</f>
        <v/>
      </c>
      <c r="P1790" t="s">
        <v>1043</v>
      </c>
      <c r="Q1790" t="str">
        <f>"4046001499463"</f>
        <v>4046001499463</v>
      </c>
      <c r="S1790" t="s">
        <v>1693</v>
      </c>
      <c r="T1790" t="s">
        <v>1487</v>
      </c>
      <c r="U1790">
        <v>691</v>
      </c>
      <c r="V1790" t="s">
        <v>1043</v>
      </c>
      <c r="W1790" t="s">
        <v>1043</v>
      </c>
      <c r="X1790" t="s">
        <v>1025</v>
      </c>
      <c r="Y1790" t="s">
        <v>1046</v>
      </c>
    </row>
    <row r="1791" spans="1:25">
      <c r="A1791">
        <v>13531</v>
      </c>
      <c r="B1791" t="s">
        <v>25</v>
      </c>
      <c r="C1791" t="str">
        <f t="shared" si="56"/>
        <v>INTEGRA Saloon</v>
      </c>
      <c r="D1791" t="str">
        <f t="shared" si="57"/>
        <v>1.6 i</v>
      </c>
      <c r="E1791" t="s">
        <v>26</v>
      </c>
      <c r="F1791">
        <v>198501</v>
      </c>
      <c r="G1791">
        <v>199012</v>
      </c>
      <c r="H1791">
        <v>88</v>
      </c>
      <c r="I1791">
        <v>120</v>
      </c>
      <c r="J1791">
        <v>1590</v>
      </c>
      <c r="K1791">
        <v>3718010</v>
      </c>
      <c r="L1791" t="s">
        <v>1488</v>
      </c>
      <c r="M1791" t="str">
        <f>"3303"</f>
        <v>3303</v>
      </c>
      <c r="N1791" t="str">
        <f>"3303"</f>
        <v>3303</v>
      </c>
      <c r="O1791" t="str">
        <f>""</f>
        <v/>
      </c>
      <c r="P1791" t="s">
        <v>1043</v>
      </c>
      <c r="Q1791" t="str">
        <f>"8435120311200"</f>
        <v>8435120311200</v>
      </c>
      <c r="R1791" t="s">
        <v>1489</v>
      </c>
      <c r="T1791" s="1" t="s">
        <v>1490</v>
      </c>
      <c r="U1791">
        <v>691</v>
      </c>
      <c r="V1791" t="s">
        <v>1043</v>
      </c>
      <c r="W1791" t="s">
        <v>1043</v>
      </c>
      <c r="X1791" t="s">
        <v>1025</v>
      </c>
      <c r="Y1791" t="s">
        <v>1046</v>
      </c>
    </row>
    <row r="1792" spans="1:25">
      <c r="A1792">
        <v>13531</v>
      </c>
      <c r="B1792" t="s">
        <v>25</v>
      </c>
      <c r="C1792" t="str">
        <f t="shared" si="56"/>
        <v>INTEGRA Saloon</v>
      </c>
      <c r="D1792" t="str">
        <f t="shared" si="57"/>
        <v>1.6 i</v>
      </c>
      <c r="E1792" t="s">
        <v>26</v>
      </c>
      <c r="F1792">
        <v>198501</v>
      </c>
      <c r="G1792">
        <v>199012</v>
      </c>
      <c r="H1792">
        <v>88</v>
      </c>
      <c r="I1792">
        <v>120</v>
      </c>
      <c r="J1792">
        <v>1590</v>
      </c>
      <c r="K1792">
        <v>3718014</v>
      </c>
      <c r="L1792" t="s">
        <v>1488</v>
      </c>
      <c r="M1792" t="str">
        <f>"3308"</f>
        <v>3308</v>
      </c>
      <c r="N1792" t="str">
        <f>"3308"</f>
        <v>3308</v>
      </c>
      <c r="O1792" t="str">
        <f>""</f>
        <v/>
      </c>
      <c r="P1792" t="s">
        <v>1043</v>
      </c>
      <c r="Q1792" t="str">
        <f>"8435120311248"</f>
        <v>8435120311248</v>
      </c>
      <c r="R1792" t="s">
        <v>1491</v>
      </c>
      <c r="T1792" s="1" t="s">
        <v>1492</v>
      </c>
      <c r="U1792">
        <v>691</v>
      </c>
      <c r="V1792" t="s">
        <v>1043</v>
      </c>
      <c r="W1792" t="s">
        <v>1043</v>
      </c>
      <c r="X1792" t="s">
        <v>1025</v>
      </c>
      <c r="Y1792" t="s">
        <v>1046</v>
      </c>
    </row>
    <row r="1793" spans="1:25">
      <c r="A1793">
        <v>13531</v>
      </c>
      <c r="B1793" t="s">
        <v>25</v>
      </c>
      <c r="C1793" t="str">
        <f t="shared" si="56"/>
        <v>INTEGRA Saloon</v>
      </c>
      <c r="D1793" t="str">
        <f t="shared" si="57"/>
        <v>1.6 i</v>
      </c>
      <c r="E1793" t="s">
        <v>26</v>
      </c>
      <c r="F1793">
        <v>198501</v>
      </c>
      <c r="G1793">
        <v>199012</v>
      </c>
      <c r="H1793">
        <v>88</v>
      </c>
      <c r="I1793">
        <v>120</v>
      </c>
      <c r="J1793">
        <v>1590</v>
      </c>
      <c r="K1793">
        <v>2591544</v>
      </c>
      <c r="L1793" t="s">
        <v>1453</v>
      </c>
      <c r="M1793" t="str">
        <f>"27969"</f>
        <v>27969</v>
      </c>
      <c r="N1793" t="str">
        <f>"2.7969"</f>
        <v>2.7969</v>
      </c>
      <c r="O1793" t="str">
        <f>"EPS 1.322.069"</f>
        <v>EPS 1.322.069</v>
      </c>
      <c r="P1793" t="s">
        <v>1049</v>
      </c>
      <c r="Q1793" t="str">
        <f>"8012510015759"</f>
        <v>8012510015759</v>
      </c>
      <c r="S1793" t="s">
        <v>1694</v>
      </c>
      <c r="T1793" s="1" t="s">
        <v>1494</v>
      </c>
      <c r="U1793">
        <v>692</v>
      </c>
      <c r="V1793" t="s">
        <v>1049</v>
      </c>
      <c r="W1793" t="s">
        <v>1051</v>
      </c>
      <c r="X1793" t="s">
        <v>1025</v>
      </c>
      <c r="Y1793" t="s">
        <v>1046</v>
      </c>
    </row>
    <row r="1794" spans="1:25">
      <c r="A1794">
        <v>13531</v>
      </c>
      <c r="B1794" t="s">
        <v>25</v>
      </c>
      <c r="C1794" t="str">
        <f t="shared" ref="C1794:C1857" si="58">"INTEGRA Saloon"</f>
        <v>INTEGRA Saloon</v>
      </c>
      <c r="D1794" t="str">
        <f t="shared" si="57"/>
        <v>1.6 i</v>
      </c>
      <c r="E1794" t="s">
        <v>26</v>
      </c>
      <c r="F1794">
        <v>198501</v>
      </c>
      <c r="G1794">
        <v>199012</v>
      </c>
      <c r="H1794">
        <v>88</v>
      </c>
      <c r="I1794">
        <v>120</v>
      </c>
      <c r="J1794">
        <v>1590</v>
      </c>
      <c r="K1794">
        <v>2591553</v>
      </c>
      <c r="L1794" t="s">
        <v>1453</v>
      </c>
      <c r="M1794" t="str">
        <f>"27985"</f>
        <v>27985</v>
      </c>
      <c r="N1794" t="str">
        <f>"2.7985"</f>
        <v>2.7985</v>
      </c>
      <c r="O1794" t="str">
        <f>"EPS 1.322.085"</f>
        <v>EPS 1.322.085</v>
      </c>
      <c r="P1794" t="s">
        <v>1049</v>
      </c>
      <c r="Q1794" t="str">
        <f>""</f>
        <v/>
      </c>
      <c r="S1794" t="s">
        <v>1695</v>
      </c>
      <c r="T1794" s="1" t="s">
        <v>1496</v>
      </c>
      <c r="U1794">
        <v>692</v>
      </c>
      <c r="V1794" t="s">
        <v>1049</v>
      </c>
      <c r="W1794" t="s">
        <v>1051</v>
      </c>
      <c r="X1794" t="s">
        <v>1025</v>
      </c>
      <c r="Y1794" t="s">
        <v>1046</v>
      </c>
    </row>
    <row r="1795" spans="1:25">
      <c r="A1795">
        <v>13531</v>
      </c>
      <c r="B1795" t="s">
        <v>25</v>
      </c>
      <c r="C1795" t="str">
        <f t="shared" si="58"/>
        <v>INTEGRA Saloon</v>
      </c>
      <c r="D1795" t="str">
        <f t="shared" si="57"/>
        <v>1.6 i</v>
      </c>
      <c r="E1795" t="s">
        <v>26</v>
      </c>
      <c r="F1795">
        <v>198501</v>
      </c>
      <c r="G1795">
        <v>199012</v>
      </c>
      <c r="H1795">
        <v>88</v>
      </c>
      <c r="I1795">
        <v>120</v>
      </c>
      <c r="J1795">
        <v>1590</v>
      </c>
      <c r="K1795">
        <v>2706963</v>
      </c>
      <c r="L1795" t="s">
        <v>1458</v>
      </c>
      <c r="M1795" t="str">
        <f>"V26700007"</f>
        <v>V26700007</v>
      </c>
      <c r="N1795" t="str">
        <f>"V26-70-0007"</f>
        <v>V26-70-0007</v>
      </c>
      <c r="O1795" t="str">
        <f>""</f>
        <v/>
      </c>
      <c r="P1795" t="s">
        <v>1049</v>
      </c>
      <c r="Q1795" t="str">
        <f>"4046001428159"</f>
        <v>4046001428159</v>
      </c>
      <c r="S1795" t="s">
        <v>1696</v>
      </c>
      <c r="T1795" s="1" t="s">
        <v>1498</v>
      </c>
      <c r="U1795">
        <v>692</v>
      </c>
      <c r="V1795" t="s">
        <v>1049</v>
      </c>
      <c r="W1795" t="s">
        <v>1051</v>
      </c>
      <c r="X1795" t="s">
        <v>1025</v>
      </c>
      <c r="Y1795" t="s">
        <v>1046</v>
      </c>
    </row>
    <row r="1796" spans="1:25">
      <c r="A1796">
        <v>13531</v>
      </c>
      <c r="B1796" t="s">
        <v>25</v>
      </c>
      <c r="C1796" t="str">
        <f t="shared" si="58"/>
        <v>INTEGRA Saloon</v>
      </c>
      <c r="D1796" t="str">
        <f t="shared" si="57"/>
        <v>1.6 i</v>
      </c>
      <c r="E1796" t="s">
        <v>26</v>
      </c>
      <c r="F1796">
        <v>198501</v>
      </c>
      <c r="G1796">
        <v>199012</v>
      </c>
      <c r="H1796">
        <v>88</v>
      </c>
      <c r="I1796">
        <v>120</v>
      </c>
      <c r="J1796">
        <v>1590</v>
      </c>
      <c r="K1796">
        <v>2706972</v>
      </c>
      <c r="L1796" t="s">
        <v>1458</v>
      </c>
      <c r="M1796" t="str">
        <f>"V26700018"</f>
        <v>V26700018</v>
      </c>
      <c r="N1796" t="str">
        <f>"V26-70-0018"</f>
        <v>V26-70-0018</v>
      </c>
      <c r="O1796" t="str">
        <f>""</f>
        <v/>
      </c>
      <c r="P1796" t="s">
        <v>1049</v>
      </c>
      <c r="Q1796" t="str">
        <f>"4046001500640"</f>
        <v>4046001500640</v>
      </c>
      <c r="R1796" t="s">
        <v>1499</v>
      </c>
      <c r="S1796" t="s">
        <v>1697</v>
      </c>
      <c r="T1796" s="1" t="s">
        <v>1501</v>
      </c>
      <c r="U1796">
        <v>692</v>
      </c>
      <c r="V1796" t="s">
        <v>1049</v>
      </c>
      <c r="W1796" t="s">
        <v>1051</v>
      </c>
      <c r="X1796" t="s">
        <v>1025</v>
      </c>
      <c r="Y1796" t="s">
        <v>1046</v>
      </c>
    </row>
    <row r="1797" spans="1:25">
      <c r="A1797">
        <v>13531</v>
      </c>
      <c r="B1797" t="s">
        <v>25</v>
      </c>
      <c r="C1797" t="str">
        <f t="shared" si="58"/>
        <v>INTEGRA Saloon</v>
      </c>
      <c r="D1797" t="str">
        <f t="shared" si="57"/>
        <v>1.6 i</v>
      </c>
      <c r="E1797" t="s">
        <v>26</v>
      </c>
      <c r="F1797">
        <v>198501</v>
      </c>
      <c r="G1797">
        <v>199012</v>
      </c>
      <c r="H1797">
        <v>88</v>
      </c>
      <c r="I1797">
        <v>120</v>
      </c>
      <c r="J1797">
        <v>1590</v>
      </c>
      <c r="K1797">
        <v>3717837</v>
      </c>
      <c r="L1797" t="s">
        <v>1488</v>
      </c>
      <c r="M1797" t="str">
        <f>"2308"</f>
        <v>2308</v>
      </c>
      <c r="N1797" t="str">
        <f>"2308"</f>
        <v>2308</v>
      </c>
      <c r="O1797" t="str">
        <f>""</f>
        <v/>
      </c>
      <c r="P1797" t="s">
        <v>1049</v>
      </c>
      <c r="Q1797" t="str">
        <f>"8435120309795"</f>
        <v>8435120309795</v>
      </c>
      <c r="R1797" t="s">
        <v>1502</v>
      </c>
      <c r="T1797" s="1" t="s">
        <v>1503</v>
      </c>
      <c r="U1797">
        <v>692</v>
      </c>
      <c r="V1797" t="s">
        <v>1049</v>
      </c>
      <c r="W1797" t="s">
        <v>1051</v>
      </c>
      <c r="X1797" t="s">
        <v>1025</v>
      </c>
      <c r="Y1797" t="s">
        <v>1046</v>
      </c>
    </row>
    <row r="1798" spans="1:25">
      <c r="A1798">
        <v>13531</v>
      </c>
      <c r="B1798" t="s">
        <v>25</v>
      </c>
      <c r="C1798" t="str">
        <f t="shared" si="58"/>
        <v>INTEGRA Saloon</v>
      </c>
      <c r="D1798" t="str">
        <f t="shared" si="57"/>
        <v>1.6 i</v>
      </c>
      <c r="E1798" t="s">
        <v>26</v>
      </c>
      <c r="F1798">
        <v>198501</v>
      </c>
      <c r="G1798">
        <v>199012</v>
      </c>
      <c r="H1798">
        <v>88</v>
      </c>
      <c r="I1798">
        <v>120</v>
      </c>
      <c r="J1798">
        <v>1590</v>
      </c>
      <c r="K1798">
        <v>3717846</v>
      </c>
      <c r="L1798" t="s">
        <v>1488</v>
      </c>
      <c r="M1798" t="str">
        <f>"2317001"</f>
        <v>2317001</v>
      </c>
      <c r="N1798" t="str">
        <f>"2317001"</f>
        <v>2317001</v>
      </c>
      <c r="O1798" t="str">
        <f>""</f>
        <v/>
      </c>
      <c r="P1798" t="s">
        <v>1049</v>
      </c>
      <c r="Q1798" t="str">
        <f>"8435120318711"</f>
        <v>8435120318711</v>
      </c>
      <c r="R1798" t="s">
        <v>1504</v>
      </c>
      <c r="T1798" t="s">
        <v>1505</v>
      </c>
      <c r="U1798">
        <v>692</v>
      </c>
      <c r="V1798" t="s">
        <v>1049</v>
      </c>
      <c r="W1798" t="s">
        <v>1051</v>
      </c>
      <c r="X1798" t="s">
        <v>1025</v>
      </c>
      <c r="Y1798" t="s">
        <v>1046</v>
      </c>
    </row>
    <row r="1799" spans="1:25">
      <c r="A1799">
        <v>13531</v>
      </c>
      <c r="B1799" t="s">
        <v>25</v>
      </c>
      <c r="C1799" t="str">
        <f t="shared" si="58"/>
        <v>INTEGRA Saloon</v>
      </c>
      <c r="D1799" t="str">
        <f t="shared" si="57"/>
        <v>1.6 i</v>
      </c>
      <c r="E1799" t="s">
        <v>26</v>
      </c>
      <c r="F1799">
        <v>198501</v>
      </c>
      <c r="G1799">
        <v>199012</v>
      </c>
      <c r="H1799">
        <v>88</v>
      </c>
      <c r="I1799">
        <v>120</v>
      </c>
      <c r="J1799">
        <v>1590</v>
      </c>
      <c r="K1799">
        <v>592985</v>
      </c>
      <c r="L1799" t="s">
        <v>636</v>
      </c>
      <c r="M1799" t="str">
        <f>"NJ254"</f>
        <v>NJ254</v>
      </c>
      <c r="N1799" t="str">
        <f>"NJ254"</f>
        <v>NJ254</v>
      </c>
      <c r="O1799" t="str">
        <f>""</f>
        <v/>
      </c>
      <c r="P1799" t="s">
        <v>1057</v>
      </c>
      <c r="Q1799" t="str">
        <f>""</f>
        <v/>
      </c>
      <c r="R1799" t="s">
        <v>1506</v>
      </c>
      <c r="S1799" t="s">
        <v>1632</v>
      </c>
      <c r="T1799" t="s">
        <v>1507</v>
      </c>
      <c r="U1799">
        <v>757</v>
      </c>
      <c r="V1799" t="s">
        <v>1057</v>
      </c>
      <c r="W1799" t="s">
        <v>987</v>
      </c>
      <c r="X1799" t="s">
        <v>1058</v>
      </c>
      <c r="Y1799" t="s">
        <v>1059</v>
      </c>
    </row>
    <row r="1800" spans="1:25">
      <c r="A1800">
        <v>13531</v>
      </c>
      <c r="B1800" t="s">
        <v>25</v>
      </c>
      <c r="C1800" t="str">
        <f t="shared" si="58"/>
        <v>INTEGRA Saloon</v>
      </c>
      <c r="D1800" t="str">
        <f t="shared" si="57"/>
        <v>1.6 i</v>
      </c>
      <c r="E1800" t="s">
        <v>26</v>
      </c>
      <c r="F1800">
        <v>198501</v>
      </c>
      <c r="G1800">
        <v>199012</v>
      </c>
      <c r="H1800">
        <v>88</v>
      </c>
      <c r="I1800">
        <v>120</v>
      </c>
      <c r="J1800">
        <v>1590</v>
      </c>
      <c r="K1800">
        <v>837523</v>
      </c>
      <c r="L1800" t="s">
        <v>1291</v>
      </c>
      <c r="M1800" t="str">
        <f>"OS6320"</f>
        <v>OS6320</v>
      </c>
      <c r="N1800" t="str">
        <f>"OS6320"</f>
        <v>OS6320</v>
      </c>
      <c r="O1800" t="str">
        <f>""</f>
        <v/>
      </c>
      <c r="P1800" t="s">
        <v>1057</v>
      </c>
      <c r="Q1800" t="str">
        <f>""</f>
        <v/>
      </c>
      <c r="R1800" t="s">
        <v>1508</v>
      </c>
      <c r="S1800" t="s">
        <v>1293</v>
      </c>
      <c r="T1800" s="1" t="s">
        <v>1509</v>
      </c>
      <c r="U1800">
        <v>757</v>
      </c>
      <c r="V1800" t="s">
        <v>1057</v>
      </c>
      <c r="W1800" t="s">
        <v>987</v>
      </c>
      <c r="X1800" t="s">
        <v>1058</v>
      </c>
      <c r="Y1800" t="s">
        <v>1059</v>
      </c>
    </row>
    <row r="1801" spans="1:25">
      <c r="A1801">
        <v>13531</v>
      </c>
      <c r="B1801" t="s">
        <v>25</v>
      </c>
      <c r="C1801" t="str">
        <f t="shared" si="58"/>
        <v>INTEGRA Saloon</v>
      </c>
      <c r="D1801" t="str">
        <f t="shared" si="57"/>
        <v>1.6 i</v>
      </c>
      <c r="E1801" t="s">
        <v>26</v>
      </c>
      <c r="F1801">
        <v>198501</v>
      </c>
      <c r="G1801">
        <v>199012</v>
      </c>
      <c r="H1801">
        <v>88</v>
      </c>
      <c r="I1801">
        <v>120</v>
      </c>
      <c r="J1801">
        <v>1590</v>
      </c>
      <c r="K1801">
        <v>1140315</v>
      </c>
      <c r="L1801" t="s">
        <v>659</v>
      </c>
      <c r="M1801" t="str">
        <f>"591777"</f>
        <v>591777</v>
      </c>
      <c r="N1801" t="str">
        <f>"591.777"</f>
        <v>591.777</v>
      </c>
      <c r="O1801" t="str">
        <f>""</f>
        <v/>
      </c>
      <c r="P1801" t="s">
        <v>1060</v>
      </c>
      <c r="Q1801" t="str">
        <f>"4041248120620"</f>
        <v>4041248120620</v>
      </c>
      <c r="R1801" t="s">
        <v>1510</v>
      </c>
      <c r="S1801" t="s">
        <v>1698</v>
      </c>
      <c r="T1801" s="1" t="s">
        <v>1699</v>
      </c>
      <c r="U1801">
        <v>757</v>
      </c>
      <c r="V1801" t="s">
        <v>1057</v>
      </c>
      <c r="W1801" t="s">
        <v>987</v>
      </c>
      <c r="X1801" t="s">
        <v>1058</v>
      </c>
      <c r="Y1801" t="s">
        <v>1059</v>
      </c>
    </row>
    <row r="1802" spans="1:25">
      <c r="A1802">
        <v>13531</v>
      </c>
      <c r="B1802" t="s">
        <v>25</v>
      </c>
      <c r="C1802" t="str">
        <f t="shared" si="58"/>
        <v>INTEGRA Saloon</v>
      </c>
      <c r="D1802" t="str">
        <f t="shared" si="57"/>
        <v>1.6 i</v>
      </c>
      <c r="E1802" t="s">
        <v>26</v>
      </c>
      <c r="F1802">
        <v>198501</v>
      </c>
      <c r="G1802">
        <v>199012</v>
      </c>
      <c r="H1802">
        <v>88</v>
      </c>
      <c r="I1802">
        <v>120</v>
      </c>
      <c r="J1802">
        <v>1590</v>
      </c>
      <c r="K1802">
        <v>687588</v>
      </c>
      <c r="L1802" t="s">
        <v>1275</v>
      </c>
      <c r="M1802" t="str">
        <f>"1193502500"</f>
        <v>1193502500</v>
      </c>
      <c r="N1802" t="str">
        <f>"1193502500"</f>
        <v>1193502500</v>
      </c>
      <c r="O1802" t="str">
        <f>""</f>
        <v/>
      </c>
      <c r="P1802" t="s">
        <v>1066</v>
      </c>
      <c r="Q1802" t="str">
        <f>"5710412472726"</f>
        <v>5710412472726</v>
      </c>
      <c r="R1802" t="s">
        <v>1512</v>
      </c>
      <c r="S1802" t="s">
        <v>1682</v>
      </c>
      <c r="T1802" s="1" t="s">
        <v>1513</v>
      </c>
      <c r="U1802">
        <v>805</v>
      </c>
      <c r="V1802" t="s">
        <v>1066</v>
      </c>
      <c r="W1802" t="s">
        <v>1069</v>
      </c>
      <c r="X1802" t="s">
        <v>71</v>
      </c>
      <c r="Y1802" t="s">
        <v>1070</v>
      </c>
    </row>
    <row r="1803" spans="1:25">
      <c r="A1803">
        <v>13531</v>
      </c>
      <c r="B1803" t="s">
        <v>25</v>
      </c>
      <c r="C1803" t="str">
        <f t="shared" si="58"/>
        <v>INTEGRA Saloon</v>
      </c>
      <c r="D1803" t="str">
        <f t="shared" si="57"/>
        <v>1.6 i</v>
      </c>
      <c r="E1803" t="s">
        <v>26</v>
      </c>
      <c r="F1803">
        <v>198501</v>
      </c>
      <c r="G1803">
        <v>199012</v>
      </c>
      <c r="H1803">
        <v>88</v>
      </c>
      <c r="I1803">
        <v>120</v>
      </c>
      <c r="J1803">
        <v>1590</v>
      </c>
      <c r="K1803">
        <v>2592153</v>
      </c>
      <c r="L1803" t="s">
        <v>1453</v>
      </c>
      <c r="M1803" t="str">
        <f>"70015"</f>
        <v>70015</v>
      </c>
      <c r="N1803" t="str">
        <f>"7.0015"</f>
        <v>7.0015</v>
      </c>
      <c r="O1803" t="str">
        <f>"EPS 1.800.015"</f>
        <v>EPS 1.800.015</v>
      </c>
      <c r="P1803" t="s">
        <v>1066</v>
      </c>
      <c r="Q1803" t="str">
        <f>"8012510037522"</f>
        <v>8012510037522</v>
      </c>
      <c r="S1803" t="s">
        <v>1683</v>
      </c>
      <c r="T1803" s="1" t="s">
        <v>1514</v>
      </c>
      <c r="U1803">
        <v>805</v>
      </c>
      <c r="V1803" t="s">
        <v>1066</v>
      </c>
      <c r="W1803" t="s">
        <v>1069</v>
      </c>
      <c r="X1803" t="s">
        <v>71</v>
      </c>
      <c r="Y1803" t="s">
        <v>1070</v>
      </c>
    </row>
    <row r="1804" spans="1:25">
      <c r="A1804">
        <v>13531</v>
      </c>
      <c r="B1804" t="s">
        <v>25</v>
      </c>
      <c r="C1804" t="str">
        <f t="shared" si="58"/>
        <v>INTEGRA Saloon</v>
      </c>
      <c r="D1804" t="str">
        <f t="shared" si="57"/>
        <v>1.6 i</v>
      </c>
      <c r="E1804" t="s">
        <v>26</v>
      </c>
      <c r="F1804">
        <v>198501</v>
      </c>
      <c r="G1804">
        <v>199012</v>
      </c>
      <c r="H1804">
        <v>88</v>
      </c>
      <c r="I1804">
        <v>120</v>
      </c>
      <c r="J1804">
        <v>1590</v>
      </c>
      <c r="K1804">
        <v>2592155</v>
      </c>
      <c r="L1804" t="s">
        <v>1453</v>
      </c>
      <c r="M1804" t="str">
        <f>"70017"</f>
        <v>70017</v>
      </c>
      <c r="N1804" t="str">
        <f>"7.0017"</f>
        <v>7.0017</v>
      </c>
      <c r="O1804" t="str">
        <f>"EPS 1.800.017"</f>
        <v>EPS 1.800.017</v>
      </c>
      <c r="P1804" t="s">
        <v>1066</v>
      </c>
      <c r="Q1804" t="str">
        <f>"8012510037546"</f>
        <v>8012510037546</v>
      </c>
      <c r="S1804" t="s">
        <v>1682</v>
      </c>
      <c r="T1804" s="1" t="s">
        <v>1515</v>
      </c>
      <c r="U1804">
        <v>805</v>
      </c>
      <c r="V1804" t="s">
        <v>1066</v>
      </c>
      <c r="W1804" t="s">
        <v>1069</v>
      </c>
      <c r="X1804" t="s">
        <v>71</v>
      </c>
      <c r="Y1804" t="s">
        <v>1070</v>
      </c>
    </row>
    <row r="1805" spans="1:25">
      <c r="A1805">
        <v>13531</v>
      </c>
      <c r="B1805" t="s">
        <v>25</v>
      </c>
      <c r="C1805" t="str">
        <f t="shared" si="58"/>
        <v>INTEGRA Saloon</v>
      </c>
      <c r="D1805" t="str">
        <f t="shared" si="57"/>
        <v>1.6 i</v>
      </c>
      <c r="E1805" t="s">
        <v>26</v>
      </c>
      <c r="F1805">
        <v>198501</v>
      </c>
      <c r="G1805">
        <v>199012</v>
      </c>
      <c r="H1805">
        <v>88</v>
      </c>
      <c r="I1805">
        <v>120</v>
      </c>
      <c r="J1805">
        <v>1590</v>
      </c>
      <c r="K1805">
        <v>2708237</v>
      </c>
      <c r="L1805" t="s">
        <v>1458</v>
      </c>
      <c r="M1805" t="str">
        <f>"V32730001"</f>
        <v>V32730001</v>
      </c>
      <c r="N1805" t="str">
        <f>"V32-73-0001"</f>
        <v>V32-73-0001</v>
      </c>
      <c r="O1805" t="str">
        <f>""</f>
        <v/>
      </c>
      <c r="P1805" t="s">
        <v>1066</v>
      </c>
      <c r="Q1805" t="str">
        <f>"4046001377419"</f>
        <v>4046001377419</v>
      </c>
      <c r="R1805" t="s">
        <v>1516</v>
      </c>
      <c r="S1805" t="s">
        <v>1250</v>
      </c>
      <c r="T1805" s="1" t="s">
        <v>1517</v>
      </c>
      <c r="U1805">
        <v>805</v>
      </c>
      <c r="V1805" t="s">
        <v>1066</v>
      </c>
      <c r="W1805" t="s">
        <v>1069</v>
      </c>
      <c r="X1805" t="s">
        <v>71</v>
      </c>
      <c r="Y1805" t="s">
        <v>1070</v>
      </c>
    </row>
    <row r="1806" spans="1:25">
      <c r="A1806">
        <v>13531</v>
      </c>
      <c r="B1806" t="s">
        <v>25</v>
      </c>
      <c r="C1806" t="str">
        <f t="shared" si="58"/>
        <v>INTEGRA Saloon</v>
      </c>
      <c r="D1806" t="str">
        <f t="shared" si="57"/>
        <v>1.6 i</v>
      </c>
      <c r="E1806" t="s">
        <v>26</v>
      </c>
      <c r="F1806">
        <v>198501</v>
      </c>
      <c r="G1806">
        <v>199012</v>
      </c>
      <c r="H1806">
        <v>88</v>
      </c>
      <c r="I1806">
        <v>120</v>
      </c>
      <c r="J1806">
        <v>1590</v>
      </c>
      <c r="K1806">
        <v>2709231</v>
      </c>
      <c r="L1806" t="s">
        <v>1458</v>
      </c>
      <c r="M1806" t="str">
        <f>"V40730004"</f>
        <v>V40730004</v>
      </c>
      <c r="N1806" t="str">
        <f>"V40-73-0004"</f>
        <v>V40-73-0004</v>
      </c>
      <c r="O1806" t="str">
        <f>""</f>
        <v/>
      </c>
      <c r="P1806" t="s">
        <v>1066</v>
      </c>
      <c r="Q1806" t="str">
        <f>"4046001325694"</f>
        <v>4046001325694</v>
      </c>
      <c r="R1806" t="s">
        <v>1518</v>
      </c>
      <c r="S1806" t="s">
        <v>1253</v>
      </c>
      <c r="T1806" s="1" t="s">
        <v>1519</v>
      </c>
      <c r="U1806">
        <v>805</v>
      </c>
      <c r="V1806" t="s">
        <v>1066</v>
      </c>
      <c r="W1806" t="s">
        <v>1069</v>
      </c>
      <c r="X1806" t="s">
        <v>71</v>
      </c>
      <c r="Y1806" t="s">
        <v>1070</v>
      </c>
    </row>
    <row r="1807" spans="1:25">
      <c r="A1807">
        <v>13531</v>
      </c>
      <c r="B1807" t="s">
        <v>25</v>
      </c>
      <c r="C1807" t="str">
        <f t="shared" si="58"/>
        <v>INTEGRA Saloon</v>
      </c>
      <c r="D1807" t="str">
        <f t="shared" si="57"/>
        <v>1.6 i</v>
      </c>
      <c r="E1807" t="s">
        <v>26</v>
      </c>
      <c r="F1807">
        <v>198501</v>
      </c>
      <c r="G1807">
        <v>199012</v>
      </c>
      <c r="H1807">
        <v>88</v>
      </c>
      <c r="I1807">
        <v>120</v>
      </c>
      <c r="J1807">
        <v>1590</v>
      </c>
      <c r="K1807">
        <v>2900402</v>
      </c>
      <c r="L1807" t="s">
        <v>1520</v>
      </c>
      <c r="M1807" t="str">
        <f>"OS3538"</f>
        <v>OS3538</v>
      </c>
      <c r="N1807" t="str">
        <f>"OS3538"</f>
        <v>OS3538</v>
      </c>
      <c r="O1807" t="str">
        <f>""</f>
        <v/>
      </c>
      <c r="P1807" t="s">
        <v>1066</v>
      </c>
      <c r="Q1807" t="str">
        <f>"3531650013487"</f>
        <v>3531650013487</v>
      </c>
      <c r="R1807" t="s">
        <v>1521</v>
      </c>
      <c r="T1807" s="1" t="s">
        <v>1522</v>
      </c>
      <c r="U1807">
        <v>805</v>
      </c>
      <c r="V1807" t="s">
        <v>1066</v>
      </c>
      <c r="W1807" t="s">
        <v>1069</v>
      </c>
      <c r="X1807" t="s">
        <v>71</v>
      </c>
      <c r="Y1807" t="s">
        <v>1070</v>
      </c>
    </row>
    <row r="1808" spans="1:25">
      <c r="A1808">
        <v>13531</v>
      </c>
      <c r="B1808" t="s">
        <v>25</v>
      </c>
      <c r="C1808" t="str">
        <f t="shared" si="58"/>
        <v>INTEGRA Saloon</v>
      </c>
      <c r="D1808" t="str">
        <f t="shared" si="57"/>
        <v>1.6 i</v>
      </c>
      <c r="E1808" t="s">
        <v>26</v>
      </c>
      <c r="F1808">
        <v>198501</v>
      </c>
      <c r="G1808">
        <v>199012</v>
      </c>
      <c r="H1808">
        <v>88</v>
      </c>
      <c r="I1808">
        <v>120</v>
      </c>
      <c r="J1808">
        <v>1590</v>
      </c>
      <c r="K1808">
        <v>2900433</v>
      </c>
      <c r="L1808" t="s">
        <v>1520</v>
      </c>
      <c r="M1808" t="str">
        <f>"OS3577"</f>
        <v>OS3577</v>
      </c>
      <c r="N1808" t="str">
        <f>"OS3577"</f>
        <v>OS3577</v>
      </c>
      <c r="O1808" t="str">
        <f>""</f>
        <v/>
      </c>
      <c r="P1808" t="s">
        <v>1066</v>
      </c>
      <c r="Q1808" t="str">
        <f>"3531650022151"</f>
        <v>3531650022151</v>
      </c>
      <c r="R1808" t="s">
        <v>1521</v>
      </c>
      <c r="S1808" t="s">
        <v>1250</v>
      </c>
      <c r="T1808" s="1" t="s">
        <v>1523</v>
      </c>
      <c r="U1808">
        <v>805</v>
      </c>
      <c r="V1808" t="s">
        <v>1066</v>
      </c>
      <c r="W1808" t="s">
        <v>1069</v>
      </c>
      <c r="X1808" t="s">
        <v>71</v>
      </c>
      <c r="Y1808" t="s">
        <v>1070</v>
      </c>
    </row>
    <row r="1809" spans="1:25">
      <c r="A1809">
        <v>13531</v>
      </c>
      <c r="B1809" t="s">
        <v>25</v>
      </c>
      <c r="C1809" t="str">
        <f t="shared" si="58"/>
        <v>INTEGRA Saloon</v>
      </c>
      <c r="D1809" t="str">
        <f t="shared" si="57"/>
        <v>1.6 i</v>
      </c>
      <c r="E1809" t="s">
        <v>26</v>
      </c>
      <c r="F1809">
        <v>198501</v>
      </c>
      <c r="G1809">
        <v>199012</v>
      </c>
      <c r="H1809">
        <v>88</v>
      </c>
      <c r="I1809">
        <v>120</v>
      </c>
      <c r="J1809">
        <v>1590</v>
      </c>
      <c r="K1809">
        <v>2947689</v>
      </c>
      <c r="L1809" t="s">
        <v>1463</v>
      </c>
      <c r="M1809" t="str">
        <f>"330007"</f>
        <v>330007</v>
      </c>
      <c r="N1809" t="str">
        <f>"330007"</f>
        <v>330007</v>
      </c>
      <c r="O1809" t="str">
        <f>""</f>
        <v/>
      </c>
      <c r="P1809" t="s">
        <v>1066</v>
      </c>
      <c r="Q1809" t="str">
        <f>""</f>
        <v/>
      </c>
      <c r="R1809" t="s">
        <v>1524</v>
      </c>
      <c r="T1809" s="1" t="s">
        <v>1525</v>
      </c>
      <c r="U1809">
        <v>805</v>
      </c>
      <c r="V1809" t="s">
        <v>1066</v>
      </c>
      <c r="W1809" t="s">
        <v>1069</v>
      </c>
      <c r="X1809" t="s">
        <v>71</v>
      </c>
      <c r="Y1809" t="s">
        <v>1070</v>
      </c>
    </row>
    <row r="1810" spans="1:25">
      <c r="A1810">
        <v>13531</v>
      </c>
      <c r="B1810" t="s">
        <v>25</v>
      </c>
      <c r="C1810" t="str">
        <f t="shared" si="58"/>
        <v>INTEGRA Saloon</v>
      </c>
      <c r="D1810" t="str">
        <f t="shared" si="57"/>
        <v>1.6 i</v>
      </c>
      <c r="E1810" t="s">
        <v>26</v>
      </c>
      <c r="F1810">
        <v>198501</v>
      </c>
      <c r="G1810">
        <v>199012</v>
      </c>
      <c r="H1810">
        <v>88</v>
      </c>
      <c r="I1810">
        <v>120</v>
      </c>
      <c r="J1810">
        <v>1590</v>
      </c>
      <c r="K1810">
        <v>2947691</v>
      </c>
      <c r="L1810" t="s">
        <v>1463</v>
      </c>
      <c r="M1810" t="str">
        <f>"330009"</f>
        <v>330009</v>
      </c>
      <c r="N1810" t="str">
        <f>"330009"</f>
        <v>330009</v>
      </c>
      <c r="O1810" t="str">
        <f>""</f>
        <v/>
      </c>
      <c r="P1810" t="s">
        <v>1066</v>
      </c>
      <c r="Q1810" t="str">
        <f>""</f>
        <v/>
      </c>
      <c r="R1810" t="s">
        <v>1526</v>
      </c>
      <c r="T1810" s="1" t="s">
        <v>1527</v>
      </c>
      <c r="U1810">
        <v>805</v>
      </c>
      <c r="V1810" t="s">
        <v>1066</v>
      </c>
      <c r="W1810" t="s">
        <v>1069</v>
      </c>
      <c r="X1810" t="s">
        <v>71</v>
      </c>
      <c r="Y1810" t="s">
        <v>1070</v>
      </c>
    </row>
    <row r="1811" spans="1:25">
      <c r="A1811">
        <v>13531</v>
      </c>
      <c r="B1811" t="s">
        <v>25</v>
      </c>
      <c r="C1811" t="str">
        <f t="shared" si="58"/>
        <v>INTEGRA Saloon</v>
      </c>
      <c r="D1811" t="str">
        <f t="shared" si="57"/>
        <v>1.6 i</v>
      </c>
      <c r="E1811" t="s">
        <v>26</v>
      </c>
      <c r="F1811">
        <v>198501</v>
      </c>
      <c r="G1811">
        <v>199012</v>
      </c>
      <c r="H1811">
        <v>88</v>
      </c>
      <c r="I1811">
        <v>120</v>
      </c>
      <c r="J1811">
        <v>1590</v>
      </c>
      <c r="K1811">
        <v>2987046</v>
      </c>
      <c r="L1811" t="s">
        <v>1528</v>
      </c>
      <c r="M1811" t="str">
        <f>"11610"</f>
        <v>11610</v>
      </c>
      <c r="N1811" t="str">
        <f>"11610"</f>
        <v>11610</v>
      </c>
      <c r="O1811" t="str">
        <f>""</f>
        <v/>
      </c>
      <c r="P1811" t="s">
        <v>1066</v>
      </c>
      <c r="Q1811" t="str">
        <f>"8435050600351"</f>
        <v>8435050600351</v>
      </c>
      <c r="R1811" t="s">
        <v>1529</v>
      </c>
      <c r="S1811" t="s">
        <v>1700</v>
      </c>
      <c r="T1811" s="1" t="s">
        <v>1530</v>
      </c>
      <c r="U1811">
        <v>805</v>
      </c>
      <c r="V1811" t="s">
        <v>1066</v>
      </c>
      <c r="W1811" t="s">
        <v>1069</v>
      </c>
      <c r="X1811" t="s">
        <v>71</v>
      </c>
      <c r="Y1811" t="s">
        <v>1070</v>
      </c>
    </row>
    <row r="1812" spans="1:25">
      <c r="A1812">
        <v>13531</v>
      </c>
      <c r="B1812" t="s">
        <v>25</v>
      </c>
      <c r="C1812" t="str">
        <f t="shared" si="58"/>
        <v>INTEGRA Saloon</v>
      </c>
      <c r="D1812" t="str">
        <f t="shared" si="57"/>
        <v>1.6 i</v>
      </c>
      <c r="E1812" t="s">
        <v>26</v>
      </c>
      <c r="F1812">
        <v>198501</v>
      </c>
      <c r="G1812">
        <v>199012</v>
      </c>
      <c r="H1812">
        <v>88</v>
      </c>
      <c r="I1812">
        <v>120</v>
      </c>
      <c r="J1812">
        <v>1590</v>
      </c>
      <c r="K1812">
        <v>3002260</v>
      </c>
      <c r="L1812" t="s">
        <v>151</v>
      </c>
      <c r="M1812" t="str">
        <f>"72002"</f>
        <v>72002</v>
      </c>
      <c r="N1812" t="str">
        <f>"72002"</f>
        <v>72002</v>
      </c>
      <c r="O1812" t="str">
        <f>""</f>
        <v/>
      </c>
      <c r="P1812" t="s">
        <v>1066</v>
      </c>
      <c r="Q1812" t="str">
        <f>""</f>
        <v/>
      </c>
      <c r="T1812" s="1" t="s">
        <v>1531</v>
      </c>
      <c r="U1812">
        <v>805</v>
      </c>
      <c r="V1812" t="s">
        <v>1066</v>
      </c>
      <c r="W1812" t="s">
        <v>1069</v>
      </c>
      <c r="X1812" t="s">
        <v>71</v>
      </c>
      <c r="Y1812" t="s">
        <v>1070</v>
      </c>
    </row>
    <row r="1813" spans="1:25">
      <c r="A1813">
        <v>13531</v>
      </c>
      <c r="B1813" t="s">
        <v>25</v>
      </c>
      <c r="C1813" t="str">
        <f t="shared" si="58"/>
        <v>INTEGRA Saloon</v>
      </c>
      <c r="D1813" t="str">
        <f t="shared" si="57"/>
        <v>1.6 i</v>
      </c>
      <c r="E1813" t="s">
        <v>26</v>
      </c>
      <c r="F1813">
        <v>198501</v>
      </c>
      <c r="G1813">
        <v>199012</v>
      </c>
      <c r="H1813">
        <v>88</v>
      </c>
      <c r="I1813">
        <v>120</v>
      </c>
      <c r="J1813">
        <v>1590</v>
      </c>
      <c r="K1813">
        <v>3034910</v>
      </c>
      <c r="L1813" t="s">
        <v>33</v>
      </c>
      <c r="M1813" t="str">
        <f>"J5611000"</f>
        <v>J5611000</v>
      </c>
      <c r="N1813" t="str">
        <f>"J5611000"</f>
        <v>J5611000</v>
      </c>
      <c r="O1813" t="str">
        <f>""</f>
        <v/>
      </c>
      <c r="P1813" t="s">
        <v>1066</v>
      </c>
      <c r="Q1813" t="str">
        <f>"8711768074951"</f>
        <v>8711768074951</v>
      </c>
      <c r="R1813" t="s">
        <v>1067</v>
      </c>
      <c r="T1813" s="1" t="s">
        <v>1532</v>
      </c>
      <c r="U1813">
        <v>805</v>
      </c>
      <c r="V1813" t="s">
        <v>1066</v>
      </c>
      <c r="W1813" t="s">
        <v>1069</v>
      </c>
      <c r="X1813" t="s">
        <v>71</v>
      </c>
      <c r="Y1813" t="s">
        <v>1070</v>
      </c>
    </row>
    <row r="1814" spans="1:25">
      <c r="A1814">
        <v>13531</v>
      </c>
      <c r="B1814" t="s">
        <v>25</v>
      </c>
      <c r="C1814" t="str">
        <f t="shared" si="58"/>
        <v>INTEGRA Saloon</v>
      </c>
      <c r="D1814" t="str">
        <f t="shared" si="57"/>
        <v>1.6 i</v>
      </c>
      <c r="E1814" t="s">
        <v>26</v>
      </c>
      <c r="F1814">
        <v>198501</v>
      </c>
      <c r="G1814">
        <v>199012</v>
      </c>
      <c r="H1814">
        <v>88</v>
      </c>
      <c r="I1814">
        <v>120</v>
      </c>
      <c r="J1814">
        <v>1590</v>
      </c>
      <c r="K1814">
        <v>3158352</v>
      </c>
      <c r="L1814" t="s">
        <v>1275</v>
      </c>
      <c r="M1814" t="str">
        <f>"1193502509"</f>
        <v>1193502509</v>
      </c>
      <c r="N1814" t="str">
        <f>"1193502509"</f>
        <v>1193502509</v>
      </c>
      <c r="O1814" t="str">
        <f>""</f>
        <v/>
      </c>
      <c r="P1814" t="s">
        <v>1066</v>
      </c>
      <c r="Q1814" t="str">
        <f>"5710412347475"</f>
        <v>5710412347475</v>
      </c>
      <c r="R1814" t="s">
        <v>1512</v>
      </c>
      <c r="S1814" t="s">
        <v>1682</v>
      </c>
      <c r="T1814" s="1" t="s">
        <v>1533</v>
      </c>
      <c r="U1814">
        <v>805</v>
      </c>
      <c r="V1814" t="s">
        <v>1066</v>
      </c>
      <c r="W1814" t="s">
        <v>1069</v>
      </c>
      <c r="X1814" t="s">
        <v>71</v>
      </c>
      <c r="Y1814" t="s">
        <v>1070</v>
      </c>
    </row>
    <row r="1815" spans="1:25">
      <c r="A1815">
        <v>13531</v>
      </c>
      <c r="B1815" t="s">
        <v>25</v>
      </c>
      <c r="C1815" t="str">
        <f t="shared" si="58"/>
        <v>INTEGRA Saloon</v>
      </c>
      <c r="D1815" t="str">
        <f t="shared" si="57"/>
        <v>1.6 i</v>
      </c>
      <c r="E1815" t="s">
        <v>26</v>
      </c>
      <c r="F1815">
        <v>198501</v>
      </c>
      <c r="G1815">
        <v>199012</v>
      </c>
      <c r="H1815">
        <v>88</v>
      </c>
      <c r="I1815">
        <v>120</v>
      </c>
      <c r="J1815">
        <v>1590</v>
      </c>
      <c r="K1815">
        <v>3529284</v>
      </c>
      <c r="L1815" t="s">
        <v>156</v>
      </c>
      <c r="M1815" t="str">
        <f>"7532002"</f>
        <v>7532002</v>
      </c>
      <c r="N1815" t="str">
        <f>"7532002"</f>
        <v>7532002</v>
      </c>
      <c r="O1815" t="str">
        <f>""</f>
        <v/>
      </c>
      <c r="P1815" t="s">
        <v>1066</v>
      </c>
      <c r="Q1815" t="str">
        <f>""</f>
        <v/>
      </c>
      <c r="T1815" s="1" t="s">
        <v>1531</v>
      </c>
      <c r="U1815">
        <v>805</v>
      </c>
      <c r="V1815" t="s">
        <v>1066</v>
      </c>
      <c r="W1815" t="s">
        <v>1069</v>
      </c>
      <c r="X1815" t="s">
        <v>71</v>
      </c>
      <c r="Y1815" t="s">
        <v>1070</v>
      </c>
    </row>
    <row r="1816" spans="1:25">
      <c r="A1816">
        <v>13531</v>
      </c>
      <c r="B1816" t="s">
        <v>25</v>
      </c>
      <c r="C1816" t="str">
        <f t="shared" si="58"/>
        <v>INTEGRA Saloon</v>
      </c>
      <c r="D1816" t="str">
        <f t="shared" si="57"/>
        <v>1.6 i</v>
      </c>
      <c r="E1816" t="s">
        <v>26</v>
      </c>
      <c r="F1816">
        <v>198501</v>
      </c>
      <c r="G1816">
        <v>199012</v>
      </c>
      <c r="H1816">
        <v>88</v>
      </c>
      <c r="I1816">
        <v>120</v>
      </c>
      <c r="J1816">
        <v>1590</v>
      </c>
      <c r="K1816">
        <v>3963916</v>
      </c>
      <c r="L1816" t="s">
        <v>27</v>
      </c>
      <c r="M1816" t="str">
        <f>"H10250"</f>
        <v>H10250</v>
      </c>
      <c r="N1816" t="str">
        <f>"H102-50"</f>
        <v>H102-50</v>
      </c>
      <c r="O1816" t="str">
        <f>""</f>
        <v/>
      </c>
      <c r="P1816" t="s">
        <v>1066</v>
      </c>
      <c r="Q1816" t="str">
        <f>"8718993209790"</f>
        <v>8718993209790</v>
      </c>
      <c r="R1816" t="s">
        <v>1071</v>
      </c>
      <c r="T1816" s="1" t="s">
        <v>1072</v>
      </c>
      <c r="U1816">
        <v>805</v>
      </c>
      <c r="V1816" t="s">
        <v>1066</v>
      </c>
      <c r="W1816" t="s">
        <v>1069</v>
      </c>
      <c r="X1816" t="s">
        <v>71</v>
      </c>
      <c r="Y1816" t="s">
        <v>1070</v>
      </c>
    </row>
    <row r="1817" spans="1:25">
      <c r="A1817">
        <v>13531</v>
      </c>
      <c r="B1817" t="s">
        <v>25</v>
      </c>
      <c r="C1817" t="str">
        <f t="shared" si="58"/>
        <v>INTEGRA Saloon</v>
      </c>
      <c r="D1817" t="str">
        <f t="shared" si="57"/>
        <v>1.6 i</v>
      </c>
      <c r="E1817" t="s">
        <v>26</v>
      </c>
      <c r="F1817">
        <v>198501</v>
      </c>
      <c r="G1817">
        <v>199012</v>
      </c>
      <c r="H1817">
        <v>88</v>
      </c>
      <c r="I1817">
        <v>120</v>
      </c>
      <c r="J1817">
        <v>1590</v>
      </c>
      <c r="K1817">
        <v>4693265</v>
      </c>
      <c r="L1817" t="s">
        <v>1534</v>
      </c>
      <c r="M1817" t="str">
        <f>"AS2070"</f>
        <v>AS2070</v>
      </c>
      <c r="N1817" t="str">
        <f>"AS2070"</f>
        <v>AS2070</v>
      </c>
      <c r="O1817" t="str">
        <f>""</f>
        <v/>
      </c>
      <c r="P1817" t="s">
        <v>1066</v>
      </c>
      <c r="Q1817" t="str">
        <f>"4048488024879"</f>
        <v>4048488024879</v>
      </c>
      <c r="R1817" t="s">
        <v>1535</v>
      </c>
      <c r="S1817" t="s">
        <v>1250</v>
      </c>
      <c r="T1817" s="1" t="s">
        <v>1536</v>
      </c>
      <c r="U1817">
        <v>805</v>
      </c>
      <c r="V1817" t="s">
        <v>1066</v>
      </c>
      <c r="W1817" t="s">
        <v>1069</v>
      </c>
      <c r="X1817" t="s">
        <v>71</v>
      </c>
      <c r="Y1817" t="s">
        <v>1070</v>
      </c>
    </row>
    <row r="1818" spans="1:25">
      <c r="A1818">
        <v>13531</v>
      </c>
      <c r="B1818" t="s">
        <v>25</v>
      </c>
      <c r="C1818" t="str">
        <f t="shared" si="58"/>
        <v>INTEGRA Saloon</v>
      </c>
      <c r="D1818" t="str">
        <f t="shared" si="57"/>
        <v>1.6 i</v>
      </c>
      <c r="E1818" t="s">
        <v>26</v>
      </c>
      <c r="F1818">
        <v>198501</v>
      </c>
      <c r="G1818">
        <v>199012</v>
      </c>
      <c r="H1818">
        <v>88</v>
      </c>
      <c r="I1818">
        <v>120</v>
      </c>
      <c r="J1818">
        <v>1590</v>
      </c>
      <c r="K1818">
        <v>517804</v>
      </c>
      <c r="L1818" t="s">
        <v>1440</v>
      </c>
      <c r="M1818" t="str">
        <f>"LBLS003"</f>
        <v>LBLS003</v>
      </c>
      <c r="N1818" t="str">
        <f>"LBLS003"</f>
        <v>LBLS003</v>
      </c>
      <c r="O1818" t="str">
        <f>""</f>
        <v/>
      </c>
      <c r="P1818" t="s">
        <v>1539</v>
      </c>
      <c r="Q1818" t="str">
        <f>""</f>
        <v/>
      </c>
      <c r="R1818" t="s">
        <v>1540</v>
      </c>
      <c r="T1818" s="1" t="s">
        <v>1541</v>
      </c>
      <c r="U1818">
        <v>806</v>
      </c>
      <c r="V1818" t="s">
        <v>1539</v>
      </c>
      <c r="W1818" t="s">
        <v>1069</v>
      </c>
      <c r="X1818" t="s">
        <v>1542</v>
      </c>
      <c r="Y1818" t="s">
        <v>1543</v>
      </c>
    </row>
    <row r="1819" spans="1:25">
      <c r="A1819">
        <v>13531</v>
      </c>
      <c r="B1819" t="s">
        <v>25</v>
      </c>
      <c r="C1819" t="str">
        <f t="shared" si="58"/>
        <v>INTEGRA Saloon</v>
      </c>
      <c r="D1819" t="str">
        <f t="shared" si="57"/>
        <v>1.6 i</v>
      </c>
      <c r="E1819" t="s">
        <v>26</v>
      </c>
      <c r="F1819">
        <v>198501</v>
      </c>
      <c r="G1819">
        <v>199012</v>
      </c>
      <c r="H1819">
        <v>88</v>
      </c>
      <c r="I1819">
        <v>120</v>
      </c>
      <c r="J1819">
        <v>1590</v>
      </c>
      <c r="K1819">
        <v>682899</v>
      </c>
      <c r="L1819" t="s">
        <v>1275</v>
      </c>
      <c r="M1819" t="str">
        <f>"1296601500"</f>
        <v>1296601500</v>
      </c>
      <c r="N1819" t="str">
        <f>"1296601500"</f>
        <v>1296601500</v>
      </c>
      <c r="O1819" t="str">
        <f>""</f>
        <v/>
      </c>
      <c r="P1819" t="s">
        <v>1539</v>
      </c>
      <c r="Q1819" t="str">
        <f>"5710412471941"</f>
        <v>5710412471941</v>
      </c>
      <c r="R1819" t="s">
        <v>1544</v>
      </c>
      <c r="S1819" t="s">
        <v>1632</v>
      </c>
      <c r="T1819" s="1" t="s">
        <v>1545</v>
      </c>
      <c r="U1819">
        <v>806</v>
      </c>
      <c r="V1819" t="s">
        <v>1539</v>
      </c>
      <c r="W1819" t="s">
        <v>1069</v>
      </c>
      <c r="X1819" t="s">
        <v>1542</v>
      </c>
      <c r="Y1819" t="s">
        <v>1543</v>
      </c>
    </row>
    <row r="1820" spans="1:25">
      <c r="A1820">
        <v>13531</v>
      </c>
      <c r="B1820" t="s">
        <v>25</v>
      </c>
      <c r="C1820" t="str">
        <f t="shared" si="58"/>
        <v>INTEGRA Saloon</v>
      </c>
      <c r="D1820" t="str">
        <f t="shared" si="57"/>
        <v>1.6 i</v>
      </c>
      <c r="E1820" t="s">
        <v>26</v>
      </c>
      <c r="F1820">
        <v>198501</v>
      </c>
      <c r="G1820">
        <v>199012</v>
      </c>
      <c r="H1820">
        <v>88</v>
      </c>
      <c r="I1820">
        <v>120</v>
      </c>
      <c r="J1820">
        <v>1590</v>
      </c>
      <c r="K1820">
        <v>1791846</v>
      </c>
      <c r="L1820" t="s">
        <v>930</v>
      </c>
      <c r="M1820" t="str">
        <f>"XBLS89"</f>
        <v>XBLS89</v>
      </c>
      <c r="N1820" t="str">
        <f>"XBLS89"</f>
        <v>XBLS89</v>
      </c>
      <c r="O1820" t="str">
        <f>""</f>
        <v/>
      </c>
      <c r="P1820" t="s">
        <v>1539</v>
      </c>
      <c r="Q1820" t="str">
        <f>"5022515070670"</f>
        <v>5022515070670</v>
      </c>
      <c r="R1820" t="s">
        <v>1540</v>
      </c>
      <c r="T1820" s="1" t="s">
        <v>1701</v>
      </c>
      <c r="U1820">
        <v>806</v>
      </c>
      <c r="V1820" t="s">
        <v>1539</v>
      </c>
      <c r="W1820" t="s">
        <v>1069</v>
      </c>
      <c r="X1820" t="s">
        <v>1542</v>
      </c>
      <c r="Y1820" t="s">
        <v>1543</v>
      </c>
    </row>
    <row r="1821" spans="1:25">
      <c r="A1821">
        <v>13531</v>
      </c>
      <c r="B1821" t="s">
        <v>25</v>
      </c>
      <c r="C1821" t="str">
        <f t="shared" si="58"/>
        <v>INTEGRA Saloon</v>
      </c>
      <c r="D1821" t="str">
        <f t="shared" si="57"/>
        <v>1.6 i</v>
      </c>
      <c r="E1821" t="s">
        <v>26</v>
      </c>
      <c r="F1821">
        <v>198501</v>
      </c>
      <c r="G1821">
        <v>199012</v>
      </c>
      <c r="H1821">
        <v>88</v>
      </c>
      <c r="I1821">
        <v>120</v>
      </c>
      <c r="J1821">
        <v>1590</v>
      </c>
      <c r="K1821">
        <v>2592289</v>
      </c>
      <c r="L1821" t="s">
        <v>1453</v>
      </c>
      <c r="M1821" t="str">
        <f>"71044"</f>
        <v>71044</v>
      </c>
      <c r="N1821" t="str">
        <f>"7.1044"</f>
        <v>7.1044</v>
      </c>
      <c r="O1821" t="str">
        <f>"EPS 1.810.044"</f>
        <v>EPS 1.810.044</v>
      </c>
      <c r="P1821" t="s">
        <v>1549</v>
      </c>
      <c r="Q1821" t="str">
        <f>"8012510039427"</f>
        <v>8012510039427</v>
      </c>
      <c r="R1821" t="s">
        <v>1550</v>
      </c>
      <c r="S1821" t="s">
        <v>1632</v>
      </c>
      <c r="T1821" s="1" t="s">
        <v>1551</v>
      </c>
      <c r="U1821">
        <v>806</v>
      </c>
      <c r="V1821" t="s">
        <v>1539</v>
      </c>
      <c r="W1821" t="s">
        <v>1069</v>
      </c>
      <c r="X1821" t="s">
        <v>1542</v>
      </c>
      <c r="Y1821" t="s">
        <v>1543</v>
      </c>
    </row>
    <row r="1822" spans="1:25">
      <c r="A1822">
        <v>13531</v>
      </c>
      <c r="B1822" t="s">
        <v>25</v>
      </c>
      <c r="C1822" t="str">
        <f t="shared" si="58"/>
        <v>INTEGRA Saloon</v>
      </c>
      <c r="D1822" t="str">
        <f t="shared" si="57"/>
        <v>1.6 i</v>
      </c>
      <c r="E1822" t="s">
        <v>26</v>
      </c>
      <c r="F1822">
        <v>198501</v>
      </c>
      <c r="G1822">
        <v>199012</v>
      </c>
      <c r="H1822">
        <v>88</v>
      </c>
      <c r="I1822">
        <v>120</v>
      </c>
      <c r="J1822">
        <v>1590</v>
      </c>
      <c r="K1822">
        <v>2707025</v>
      </c>
      <c r="L1822" t="s">
        <v>1458</v>
      </c>
      <c r="M1822" t="str">
        <f>"V26730004"</f>
        <v>V26730004</v>
      </c>
      <c r="N1822" t="str">
        <f>"V26-73-0004"</f>
        <v>V26-73-0004</v>
      </c>
      <c r="O1822" t="str">
        <f>""</f>
        <v/>
      </c>
      <c r="P1822" t="s">
        <v>1539</v>
      </c>
      <c r="Q1822" t="str">
        <f>"4046001585166"</f>
        <v>4046001585166</v>
      </c>
      <c r="R1822" t="s">
        <v>1550</v>
      </c>
      <c r="T1822" s="1" t="s">
        <v>1552</v>
      </c>
      <c r="U1822">
        <v>806</v>
      </c>
      <c r="V1822" t="s">
        <v>1539</v>
      </c>
      <c r="W1822" t="s">
        <v>1069</v>
      </c>
      <c r="X1822" t="s">
        <v>1542</v>
      </c>
      <c r="Y1822" t="s">
        <v>1543</v>
      </c>
    </row>
    <row r="1823" spans="1:25">
      <c r="A1823">
        <v>13531</v>
      </c>
      <c r="B1823" t="s">
        <v>25</v>
      </c>
      <c r="C1823" t="str">
        <f t="shared" si="58"/>
        <v>INTEGRA Saloon</v>
      </c>
      <c r="D1823" t="str">
        <f t="shared" si="57"/>
        <v>1.6 i</v>
      </c>
      <c r="E1823" t="s">
        <v>26</v>
      </c>
      <c r="F1823">
        <v>198501</v>
      </c>
      <c r="G1823">
        <v>199012</v>
      </c>
      <c r="H1823">
        <v>88</v>
      </c>
      <c r="I1823">
        <v>120</v>
      </c>
      <c r="J1823">
        <v>1590</v>
      </c>
      <c r="K1823">
        <v>2899444</v>
      </c>
      <c r="L1823" t="s">
        <v>1520</v>
      </c>
      <c r="M1823" t="str">
        <f>"BS4560"</f>
        <v>BS4560</v>
      </c>
      <c r="N1823" t="str">
        <f>"BS4560"</f>
        <v>BS4560</v>
      </c>
      <c r="O1823" t="str">
        <f>""</f>
        <v/>
      </c>
      <c r="P1823" t="s">
        <v>1539</v>
      </c>
      <c r="Q1823" t="str">
        <f>"3531650014354"</f>
        <v>3531650014354</v>
      </c>
      <c r="R1823" t="s">
        <v>1553</v>
      </c>
      <c r="T1823" s="1" t="s">
        <v>1554</v>
      </c>
      <c r="U1823">
        <v>806</v>
      </c>
      <c r="V1823" t="s">
        <v>1539</v>
      </c>
      <c r="W1823" t="s">
        <v>1069</v>
      </c>
      <c r="X1823" t="s">
        <v>1542</v>
      </c>
      <c r="Y1823" t="s">
        <v>1543</v>
      </c>
    </row>
    <row r="1824" spans="1:25">
      <c r="A1824">
        <v>13531</v>
      </c>
      <c r="B1824" t="s">
        <v>25</v>
      </c>
      <c r="C1824" t="str">
        <f t="shared" si="58"/>
        <v>INTEGRA Saloon</v>
      </c>
      <c r="D1824" t="str">
        <f t="shared" si="57"/>
        <v>1.6 i</v>
      </c>
      <c r="E1824" t="s">
        <v>26</v>
      </c>
      <c r="F1824">
        <v>198501</v>
      </c>
      <c r="G1824">
        <v>199012</v>
      </c>
      <c r="H1824">
        <v>88</v>
      </c>
      <c r="I1824">
        <v>120</v>
      </c>
      <c r="J1824">
        <v>1590</v>
      </c>
      <c r="K1824">
        <v>2948276</v>
      </c>
      <c r="L1824" t="s">
        <v>1463</v>
      </c>
      <c r="M1824" t="str">
        <f>"330701"</f>
        <v>330701</v>
      </c>
      <c r="N1824" t="str">
        <f>"330701"</f>
        <v>330701</v>
      </c>
      <c r="O1824" t="str">
        <f>""</f>
        <v/>
      </c>
      <c r="P1824" t="s">
        <v>1539</v>
      </c>
      <c r="Q1824" t="str">
        <f>""</f>
        <v/>
      </c>
      <c r="R1824" t="s">
        <v>1555</v>
      </c>
      <c r="T1824" s="1" t="s">
        <v>1556</v>
      </c>
      <c r="U1824">
        <v>806</v>
      </c>
      <c r="V1824" t="s">
        <v>1539</v>
      </c>
      <c r="W1824" t="s">
        <v>1069</v>
      </c>
      <c r="X1824" t="s">
        <v>1542</v>
      </c>
      <c r="Y1824" t="s">
        <v>1543</v>
      </c>
    </row>
    <row r="1825" spans="1:25">
      <c r="A1825">
        <v>13531</v>
      </c>
      <c r="B1825" t="s">
        <v>25</v>
      </c>
      <c r="C1825" t="str">
        <f t="shared" si="58"/>
        <v>INTEGRA Saloon</v>
      </c>
      <c r="D1825" t="str">
        <f t="shared" si="57"/>
        <v>1.6 i</v>
      </c>
      <c r="E1825" t="s">
        <v>26</v>
      </c>
      <c r="F1825">
        <v>198501</v>
      </c>
      <c r="G1825">
        <v>199012</v>
      </c>
      <c r="H1825">
        <v>88</v>
      </c>
      <c r="I1825">
        <v>120</v>
      </c>
      <c r="J1825">
        <v>1590</v>
      </c>
      <c r="K1825">
        <v>2987495</v>
      </c>
      <c r="L1825" t="s">
        <v>1528</v>
      </c>
      <c r="M1825" t="str">
        <f>"24600"</f>
        <v>24600</v>
      </c>
      <c r="N1825" t="str">
        <f>"24600"</f>
        <v>24600</v>
      </c>
      <c r="O1825" t="str">
        <f>""</f>
        <v/>
      </c>
      <c r="P1825" t="s">
        <v>1539</v>
      </c>
      <c r="Q1825" t="str">
        <f>"8435050602478"</f>
        <v>8435050602478</v>
      </c>
      <c r="R1825" t="s">
        <v>1557</v>
      </c>
      <c r="T1825" s="1" t="s">
        <v>1558</v>
      </c>
      <c r="U1825">
        <v>806</v>
      </c>
      <c r="V1825" t="s">
        <v>1539</v>
      </c>
      <c r="W1825" t="s">
        <v>1069</v>
      </c>
      <c r="X1825" t="s">
        <v>1542</v>
      </c>
      <c r="Y1825" t="s">
        <v>1543</v>
      </c>
    </row>
    <row r="1826" spans="1:25">
      <c r="A1826">
        <v>13531</v>
      </c>
      <c r="B1826" t="s">
        <v>25</v>
      </c>
      <c r="C1826" t="str">
        <f t="shared" si="58"/>
        <v>INTEGRA Saloon</v>
      </c>
      <c r="D1826" t="str">
        <f t="shared" si="57"/>
        <v>1.6 i</v>
      </c>
      <c r="E1826" t="s">
        <v>26</v>
      </c>
      <c r="F1826">
        <v>198501</v>
      </c>
      <c r="G1826">
        <v>199012</v>
      </c>
      <c r="H1826">
        <v>88</v>
      </c>
      <c r="I1826">
        <v>120</v>
      </c>
      <c r="J1826">
        <v>1590</v>
      </c>
      <c r="K1826">
        <v>3000212</v>
      </c>
      <c r="L1826" t="s">
        <v>151</v>
      </c>
      <c r="M1826" t="str">
        <f>"35007"</f>
        <v>35007</v>
      </c>
      <c r="N1826" t="str">
        <f>"35007"</f>
        <v>35007</v>
      </c>
      <c r="O1826" t="str">
        <f>""</f>
        <v/>
      </c>
      <c r="P1826" t="s">
        <v>1539</v>
      </c>
      <c r="Q1826" t="str">
        <f>""</f>
        <v/>
      </c>
      <c r="R1826" t="s">
        <v>1547</v>
      </c>
      <c r="T1826" s="1" t="s">
        <v>1548</v>
      </c>
      <c r="U1826">
        <v>806</v>
      </c>
      <c r="V1826" t="s">
        <v>1539</v>
      </c>
      <c r="W1826" t="s">
        <v>1069</v>
      </c>
      <c r="X1826" t="s">
        <v>1542</v>
      </c>
      <c r="Y1826" t="s">
        <v>1543</v>
      </c>
    </row>
    <row r="1827" spans="1:25">
      <c r="A1827">
        <v>13531</v>
      </c>
      <c r="B1827" t="s">
        <v>25</v>
      </c>
      <c r="C1827" t="str">
        <f t="shared" si="58"/>
        <v>INTEGRA Saloon</v>
      </c>
      <c r="D1827" t="str">
        <f t="shared" si="57"/>
        <v>1.6 i</v>
      </c>
      <c r="E1827" t="s">
        <v>26</v>
      </c>
      <c r="F1827">
        <v>198501</v>
      </c>
      <c r="G1827">
        <v>199012</v>
      </c>
      <c r="H1827">
        <v>88</v>
      </c>
      <c r="I1827">
        <v>120</v>
      </c>
      <c r="J1827">
        <v>1590</v>
      </c>
      <c r="K1827">
        <v>3182546</v>
      </c>
      <c r="L1827" t="s">
        <v>1440</v>
      </c>
      <c r="M1827" t="str">
        <f>"51316"</f>
        <v>51316</v>
      </c>
      <c r="N1827" t="str">
        <f>"51316"</f>
        <v>51316</v>
      </c>
      <c r="O1827" t="str">
        <f>""</f>
        <v/>
      </c>
      <c r="P1827" t="s">
        <v>1539</v>
      </c>
      <c r="Q1827" t="str">
        <f>"5012225255740"</f>
        <v>5012225255740</v>
      </c>
      <c r="R1827" t="s">
        <v>1540</v>
      </c>
      <c r="T1827" s="1" t="s">
        <v>1541</v>
      </c>
      <c r="U1827">
        <v>806</v>
      </c>
      <c r="V1827" t="s">
        <v>1539</v>
      </c>
      <c r="W1827" t="s">
        <v>1069</v>
      </c>
      <c r="X1827" t="s">
        <v>1542</v>
      </c>
      <c r="Y1827" t="s">
        <v>1543</v>
      </c>
    </row>
    <row r="1828" spans="1:25">
      <c r="A1828">
        <v>13531</v>
      </c>
      <c r="B1828" t="s">
        <v>25</v>
      </c>
      <c r="C1828" t="str">
        <f t="shared" si="58"/>
        <v>INTEGRA Saloon</v>
      </c>
      <c r="D1828" t="str">
        <f t="shared" si="57"/>
        <v>1.6 i</v>
      </c>
      <c r="E1828" t="s">
        <v>26</v>
      </c>
      <c r="F1828">
        <v>198501</v>
      </c>
      <c r="G1828">
        <v>199012</v>
      </c>
      <c r="H1828">
        <v>88</v>
      </c>
      <c r="I1828">
        <v>120</v>
      </c>
      <c r="J1828">
        <v>1590</v>
      </c>
      <c r="K1828">
        <v>3187069</v>
      </c>
      <c r="L1828" t="s">
        <v>1440</v>
      </c>
      <c r="M1828" t="str">
        <f>"BLS1009"</f>
        <v>BLS1009</v>
      </c>
      <c r="N1828" t="str">
        <f>"BLS1009"</f>
        <v>BLS1009</v>
      </c>
      <c r="O1828" t="str">
        <f>""</f>
        <v/>
      </c>
      <c r="P1828" t="s">
        <v>1539</v>
      </c>
      <c r="Q1828" t="str">
        <f>"5029406151708"</f>
        <v>5029406151708</v>
      </c>
      <c r="R1828" t="s">
        <v>1540</v>
      </c>
      <c r="T1828" s="1" t="s">
        <v>1541</v>
      </c>
      <c r="U1828">
        <v>806</v>
      </c>
      <c r="V1828" t="s">
        <v>1539</v>
      </c>
      <c r="W1828" t="s">
        <v>1069</v>
      </c>
      <c r="X1828" t="s">
        <v>1542</v>
      </c>
      <c r="Y1828" t="s">
        <v>1543</v>
      </c>
    </row>
    <row r="1829" spans="1:25">
      <c r="A1829">
        <v>13531</v>
      </c>
      <c r="B1829" t="s">
        <v>25</v>
      </c>
      <c r="C1829" t="str">
        <f t="shared" si="58"/>
        <v>INTEGRA Saloon</v>
      </c>
      <c r="D1829" t="str">
        <f t="shared" si="57"/>
        <v>1.6 i</v>
      </c>
      <c r="E1829" t="s">
        <v>26</v>
      </c>
      <c r="F1829">
        <v>198501</v>
      </c>
      <c r="G1829">
        <v>199012</v>
      </c>
      <c r="H1829">
        <v>88</v>
      </c>
      <c r="I1829">
        <v>120</v>
      </c>
      <c r="J1829">
        <v>1590</v>
      </c>
      <c r="K1829">
        <v>3197362</v>
      </c>
      <c r="L1829" t="s">
        <v>1440</v>
      </c>
      <c r="M1829" t="str">
        <f>"SBL058"</f>
        <v>SBL058</v>
      </c>
      <c r="N1829" t="str">
        <f>"SBL058"</f>
        <v>SBL058</v>
      </c>
      <c r="O1829" t="str">
        <f>""</f>
        <v/>
      </c>
      <c r="P1829" t="s">
        <v>1539</v>
      </c>
      <c r="Q1829" t="str">
        <f>"5012225194285"</f>
        <v>5012225194285</v>
      </c>
      <c r="R1829" t="s">
        <v>1540</v>
      </c>
      <c r="T1829" s="1" t="s">
        <v>1541</v>
      </c>
      <c r="U1829">
        <v>806</v>
      </c>
      <c r="V1829" t="s">
        <v>1539</v>
      </c>
      <c r="W1829" t="s">
        <v>1069</v>
      </c>
      <c r="X1829" t="s">
        <v>1542</v>
      </c>
      <c r="Y1829" t="s">
        <v>1543</v>
      </c>
    </row>
    <row r="1830" spans="1:25">
      <c r="A1830">
        <v>13531</v>
      </c>
      <c r="B1830" t="s">
        <v>25</v>
      </c>
      <c r="C1830" t="str">
        <f t="shared" si="58"/>
        <v>INTEGRA Saloon</v>
      </c>
      <c r="D1830" t="str">
        <f t="shared" si="57"/>
        <v>1.6 i</v>
      </c>
      <c r="E1830" t="s">
        <v>26</v>
      </c>
      <c r="F1830">
        <v>198501</v>
      </c>
      <c r="G1830">
        <v>199012</v>
      </c>
      <c r="H1830">
        <v>88</v>
      </c>
      <c r="I1830">
        <v>120</v>
      </c>
      <c r="J1830">
        <v>1590</v>
      </c>
      <c r="K1830">
        <v>3522578</v>
      </c>
      <c r="L1830" t="s">
        <v>156</v>
      </c>
      <c r="M1830" t="str">
        <f>"3500007"</f>
        <v>3500007</v>
      </c>
      <c r="N1830" t="str">
        <f>"3500007"</f>
        <v>3500007</v>
      </c>
      <c r="O1830" t="str">
        <f>""</f>
        <v/>
      </c>
      <c r="P1830" t="s">
        <v>1539</v>
      </c>
      <c r="Q1830" t="str">
        <f>""</f>
        <v/>
      </c>
      <c r="R1830" t="s">
        <v>1547</v>
      </c>
      <c r="T1830" s="1" t="s">
        <v>1548</v>
      </c>
      <c r="U1830">
        <v>806</v>
      </c>
      <c r="V1830" t="s">
        <v>1539</v>
      </c>
      <c r="W1830" t="s">
        <v>1069</v>
      </c>
      <c r="X1830" t="s">
        <v>1542</v>
      </c>
      <c r="Y1830" t="s">
        <v>1543</v>
      </c>
    </row>
    <row r="1831" spans="1:25">
      <c r="A1831">
        <v>13531</v>
      </c>
      <c r="B1831" t="s">
        <v>25</v>
      </c>
      <c r="C1831" t="str">
        <f t="shared" si="58"/>
        <v>INTEGRA Saloon</v>
      </c>
      <c r="D1831" t="str">
        <f t="shared" si="57"/>
        <v>1.6 i</v>
      </c>
      <c r="E1831" t="s">
        <v>26</v>
      </c>
      <c r="F1831">
        <v>198501</v>
      </c>
      <c r="G1831">
        <v>199012</v>
      </c>
      <c r="H1831">
        <v>88</v>
      </c>
      <c r="I1831">
        <v>120</v>
      </c>
      <c r="J1831">
        <v>1590</v>
      </c>
      <c r="K1831">
        <v>2593031</v>
      </c>
      <c r="L1831" t="s">
        <v>1453</v>
      </c>
      <c r="M1831" t="str">
        <f>"76094"</f>
        <v>76094</v>
      </c>
      <c r="N1831" t="str">
        <f>"7.6094"</f>
        <v>7.6094</v>
      </c>
      <c r="O1831" t="str">
        <f>"EPS 1.860.094"</f>
        <v>EPS 1.860.094</v>
      </c>
      <c r="P1831" t="s">
        <v>1561</v>
      </c>
      <c r="Q1831" t="str">
        <f>"8012510045640"</f>
        <v>8012510045640</v>
      </c>
      <c r="S1831" t="s">
        <v>1632</v>
      </c>
      <c r="T1831" s="1" t="s">
        <v>1562</v>
      </c>
      <c r="U1831">
        <v>807</v>
      </c>
      <c r="V1831" t="s">
        <v>1561</v>
      </c>
      <c r="W1831" t="s">
        <v>1069</v>
      </c>
      <c r="X1831" t="s">
        <v>1563</v>
      </c>
      <c r="Y1831" t="s">
        <v>1564</v>
      </c>
    </row>
    <row r="1832" spans="1:25">
      <c r="A1832">
        <v>13531</v>
      </c>
      <c r="B1832" t="s">
        <v>25</v>
      </c>
      <c r="C1832" t="str">
        <f t="shared" si="58"/>
        <v>INTEGRA Saloon</v>
      </c>
      <c r="D1832" t="str">
        <f t="shared" si="57"/>
        <v>1.6 i</v>
      </c>
      <c r="E1832" t="s">
        <v>26</v>
      </c>
      <c r="F1832">
        <v>198501</v>
      </c>
      <c r="G1832">
        <v>199012</v>
      </c>
      <c r="H1832">
        <v>88</v>
      </c>
      <c r="I1832">
        <v>120</v>
      </c>
      <c r="J1832">
        <v>1590</v>
      </c>
      <c r="K1832">
        <v>2707030</v>
      </c>
      <c r="L1832" t="s">
        <v>1458</v>
      </c>
      <c r="M1832" t="str">
        <f>"V26730012"</f>
        <v>V26730012</v>
      </c>
      <c r="N1832" t="str">
        <f>"V26-73-0012"</f>
        <v>V26-73-0012</v>
      </c>
      <c r="O1832" t="str">
        <f>""</f>
        <v/>
      </c>
      <c r="P1832" t="s">
        <v>1561</v>
      </c>
      <c r="Q1832" t="str">
        <f>"4046001530517"</f>
        <v>4046001530517</v>
      </c>
      <c r="T1832" s="1" t="s">
        <v>1702</v>
      </c>
      <c r="U1832">
        <v>807</v>
      </c>
      <c r="V1832" t="s">
        <v>1561</v>
      </c>
      <c r="W1832" t="s">
        <v>1069</v>
      </c>
      <c r="X1832" t="s">
        <v>1563</v>
      </c>
      <c r="Y1832" t="s">
        <v>1564</v>
      </c>
    </row>
    <row r="1833" spans="1:25">
      <c r="A1833">
        <v>13531</v>
      </c>
      <c r="B1833" t="s">
        <v>25</v>
      </c>
      <c r="C1833" t="str">
        <f t="shared" si="58"/>
        <v>INTEGRA Saloon</v>
      </c>
      <c r="D1833" t="str">
        <f t="shared" si="57"/>
        <v>1.6 i</v>
      </c>
      <c r="E1833" t="s">
        <v>26</v>
      </c>
      <c r="F1833">
        <v>198501</v>
      </c>
      <c r="G1833">
        <v>199012</v>
      </c>
      <c r="H1833">
        <v>88</v>
      </c>
      <c r="I1833">
        <v>120</v>
      </c>
      <c r="J1833">
        <v>1590</v>
      </c>
      <c r="K1833">
        <v>2900660</v>
      </c>
      <c r="L1833" t="s">
        <v>1520</v>
      </c>
      <c r="M1833" t="str">
        <f>"RS5537"</f>
        <v>RS5537</v>
      </c>
      <c r="N1833" t="str">
        <f>"RS5537"</f>
        <v>RS5537</v>
      </c>
      <c r="O1833" t="str">
        <f>""</f>
        <v/>
      </c>
      <c r="P1833" t="s">
        <v>1561</v>
      </c>
      <c r="Q1833" t="str">
        <f>"3531650014989"</f>
        <v>3531650014989</v>
      </c>
      <c r="R1833" t="s">
        <v>1565</v>
      </c>
      <c r="T1833" s="1" t="s">
        <v>1566</v>
      </c>
      <c r="U1833">
        <v>807</v>
      </c>
      <c r="V1833" t="s">
        <v>1561</v>
      </c>
      <c r="W1833" t="s">
        <v>1069</v>
      </c>
      <c r="X1833" t="s">
        <v>1563</v>
      </c>
      <c r="Y1833" t="s">
        <v>1564</v>
      </c>
    </row>
    <row r="1834" spans="1:25">
      <c r="A1834">
        <v>13531</v>
      </c>
      <c r="B1834" t="s">
        <v>25</v>
      </c>
      <c r="C1834" t="str">
        <f t="shared" si="58"/>
        <v>INTEGRA Saloon</v>
      </c>
      <c r="D1834" t="str">
        <f t="shared" si="57"/>
        <v>1.6 i</v>
      </c>
      <c r="E1834" t="s">
        <v>26</v>
      </c>
      <c r="F1834">
        <v>198501</v>
      </c>
      <c r="G1834">
        <v>199012</v>
      </c>
      <c r="H1834">
        <v>88</v>
      </c>
      <c r="I1834">
        <v>120</v>
      </c>
      <c r="J1834">
        <v>1590</v>
      </c>
      <c r="K1834">
        <v>2948336</v>
      </c>
      <c r="L1834" t="s">
        <v>1463</v>
      </c>
      <c r="M1834" t="str">
        <f>"330762"</f>
        <v>330762</v>
      </c>
      <c r="N1834" t="str">
        <f>"330762"</f>
        <v>330762</v>
      </c>
      <c r="O1834" t="str">
        <f>""</f>
        <v/>
      </c>
      <c r="P1834" t="s">
        <v>1561</v>
      </c>
      <c r="Q1834" t="str">
        <f>""</f>
        <v/>
      </c>
      <c r="R1834" t="s">
        <v>1703</v>
      </c>
      <c r="T1834" s="1" t="s">
        <v>1704</v>
      </c>
      <c r="U1834">
        <v>807</v>
      </c>
      <c r="V1834" t="s">
        <v>1561</v>
      </c>
      <c r="W1834" t="s">
        <v>1069</v>
      </c>
      <c r="X1834" t="s">
        <v>1563</v>
      </c>
      <c r="Y1834" t="s">
        <v>1564</v>
      </c>
    </row>
    <row r="1835" spans="1:25">
      <c r="A1835">
        <v>13531</v>
      </c>
      <c r="B1835" t="s">
        <v>25</v>
      </c>
      <c r="C1835" t="str">
        <f t="shared" si="58"/>
        <v>INTEGRA Saloon</v>
      </c>
      <c r="D1835" t="str">
        <f t="shared" si="57"/>
        <v>1.6 i</v>
      </c>
      <c r="E1835" t="s">
        <v>26</v>
      </c>
      <c r="F1835">
        <v>198501</v>
      </c>
      <c r="G1835">
        <v>199012</v>
      </c>
      <c r="H1835">
        <v>88</v>
      </c>
      <c r="I1835">
        <v>120</v>
      </c>
      <c r="J1835">
        <v>1590</v>
      </c>
      <c r="K1835">
        <v>2988263</v>
      </c>
      <c r="L1835" t="s">
        <v>1528</v>
      </c>
      <c r="M1835" t="str">
        <f>"40580"</f>
        <v>40580</v>
      </c>
      <c r="N1835" t="str">
        <f>"40580"</f>
        <v>40580</v>
      </c>
      <c r="O1835" t="str">
        <f>""</f>
        <v/>
      </c>
      <c r="P1835" t="s">
        <v>1561</v>
      </c>
      <c r="Q1835" t="str">
        <f>"8435050607343"</f>
        <v>8435050607343</v>
      </c>
      <c r="R1835" t="s">
        <v>1705</v>
      </c>
      <c r="T1835" s="1" t="s">
        <v>1706</v>
      </c>
      <c r="U1835">
        <v>807</v>
      </c>
      <c r="V1835" t="s">
        <v>1561</v>
      </c>
      <c r="W1835" t="s">
        <v>1069</v>
      </c>
      <c r="X1835" t="s">
        <v>1563</v>
      </c>
      <c r="Y1835" t="s">
        <v>1564</v>
      </c>
    </row>
    <row r="1836" spans="1:25">
      <c r="A1836">
        <v>13531</v>
      </c>
      <c r="B1836" t="s">
        <v>25</v>
      </c>
      <c r="C1836" t="str">
        <f t="shared" si="58"/>
        <v>INTEGRA Saloon</v>
      </c>
      <c r="D1836" t="str">
        <f t="shared" si="57"/>
        <v>1.6 i</v>
      </c>
      <c r="E1836" t="s">
        <v>26</v>
      </c>
      <c r="F1836">
        <v>198501</v>
      </c>
      <c r="G1836">
        <v>199012</v>
      </c>
      <c r="H1836">
        <v>88</v>
      </c>
      <c r="I1836">
        <v>120</v>
      </c>
      <c r="J1836">
        <v>1590</v>
      </c>
      <c r="K1836">
        <v>1065414</v>
      </c>
      <c r="L1836" t="s">
        <v>690</v>
      </c>
      <c r="M1836" t="str">
        <f>"6PT009107511"</f>
        <v>6PT009107511</v>
      </c>
      <c r="N1836" t="str">
        <f>"6PT 009 107-511"</f>
        <v>6PT 009 107-511</v>
      </c>
      <c r="O1836" t="str">
        <f>"066181"</f>
        <v>066181</v>
      </c>
      <c r="P1836" t="s">
        <v>1073</v>
      </c>
      <c r="Q1836" t="str">
        <f>"4082300144703"</f>
        <v>4082300144703</v>
      </c>
      <c r="R1836" s="1" t="s">
        <v>1707</v>
      </c>
      <c r="S1836" t="s">
        <v>1708</v>
      </c>
      <c r="T1836" t="s">
        <v>1709</v>
      </c>
      <c r="U1836">
        <v>830</v>
      </c>
      <c r="V1836" t="s">
        <v>1073</v>
      </c>
      <c r="W1836" t="s">
        <v>1077</v>
      </c>
      <c r="X1836" t="s">
        <v>626</v>
      </c>
      <c r="Y1836" t="s">
        <v>1078</v>
      </c>
    </row>
    <row r="1837" spans="1:25">
      <c r="A1837">
        <v>13531</v>
      </c>
      <c r="B1837" t="s">
        <v>25</v>
      </c>
      <c r="C1837" t="str">
        <f t="shared" si="58"/>
        <v>INTEGRA Saloon</v>
      </c>
      <c r="D1837" t="str">
        <f t="shared" si="57"/>
        <v>1.6 i</v>
      </c>
      <c r="E1837" t="s">
        <v>26</v>
      </c>
      <c r="F1837">
        <v>198501</v>
      </c>
      <c r="G1837">
        <v>199012</v>
      </c>
      <c r="H1837">
        <v>88</v>
      </c>
      <c r="I1837">
        <v>120</v>
      </c>
      <c r="J1837">
        <v>1590</v>
      </c>
      <c r="K1837">
        <v>2592489</v>
      </c>
      <c r="L1837" t="s">
        <v>1453</v>
      </c>
      <c r="M1837" t="str">
        <f>"73056"</f>
        <v>73056</v>
      </c>
      <c r="N1837" t="str">
        <f>"7.3056"</f>
        <v>7.3056</v>
      </c>
      <c r="O1837" t="str">
        <f>"EPS 1.830.056"</f>
        <v>EPS 1.830.056</v>
      </c>
      <c r="P1837" t="s">
        <v>1567</v>
      </c>
      <c r="Q1837" t="str">
        <f>"8012510040638"</f>
        <v>8012510040638</v>
      </c>
      <c r="S1837" t="s">
        <v>1632</v>
      </c>
      <c r="T1837" s="1" t="s">
        <v>1568</v>
      </c>
      <c r="U1837">
        <v>830</v>
      </c>
      <c r="V1837" t="s">
        <v>1073</v>
      </c>
      <c r="W1837" t="s">
        <v>1077</v>
      </c>
      <c r="X1837" t="s">
        <v>626</v>
      </c>
      <c r="Y1837" t="s">
        <v>1078</v>
      </c>
    </row>
    <row r="1838" spans="1:25">
      <c r="A1838">
        <v>13531</v>
      </c>
      <c r="B1838" t="s">
        <v>25</v>
      </c>
      <c r="C1838" t="str">
        <f t="shared" si="58"/>
        <v>INTEGRA Saloon</v>
      </c>
      <c r="D1838" t="str">
        <f t="shared" si="57"/>
        <v>1.6 i</v>
      </c>
      <c r="E1838" t="s">
        <v>26</v>
      </c>
      <c r="F1838">
        <v>198501</v>
      </c>
      <c r="G1838">
        <v>199012</v>
      </c>
      <c r="H1838">
        <v>88</v>
      </c>
      <c r="I1838">
        <v>120</v>
      </c>
      <c r="J1838">
        <v>1590</v>
      </c>
      <c r="K1838">
        <v>2592565</v>
      </c>
      <c r="L1838" t="s">
        <v>1453</v>
      </c>
      <c r="M1838" t="str">
        <f>"73198"</f>
        <v>73198</v>
      </c>
      <c r="N1838" t="str">
        <f>"7.3198"</f>
        <v>7.3198</v>
      </c>
      <c r="O1838" t="str">
        <f>"EPS 1.830.198"</f>
        <v>EPS 1.830.198</v>
      </c>
      <c r="P1838" t="s">
        <v>1569</v>
      </c>
      <c r="Q1838" t="str">
        <f>"8012510070772"</f>
        <v>8012510070772</v>
      </c>
      <c r="S1838" t="s">
        <v>1683</v>
      </c>
      <c r="T1838" s="1" t="s">
        <v>1570</v>
      </c>
      <c r="U1838">
        <v>830</v>
      </c>
      <c r="V1838" t="s">
        <v>1073</v>
      </c>
      <c r="W1838" t="s">
        <v>1077</v>
      </c>
      <c r="X1838" t="s">
        <v>626</v>
      </c>
      <c r="Y1838" t="s">
        <v>1078</v>
      </c>
    </row>
    <row r="1839" spans="1:25">
      <c r="A1839">
        <v>13531</v>
      </c>
      <c r="B1839" t="s">
        <v>25</v>
      </c>
      <c r="C1839" t="str">
        <f t="shared" si="58"/>
        <v>INTEGRA Saloon</v>
      </c>
      <c r="D1839" t="str">
        <f t="shared" si="57"/>
        <v>1.6 i</v>
      </c>
      <c r="E1839" t="s">
        <v>26</v>
      </c>
      <c r="F1839">
        <v>198501</v>
      </c>
      <c r="G1839">
        <v>199012</v>
      </c>
      <c r="H1839">
        <v>88</v>
      </c>
      <c r="I1839">
        <v>120</v>
      </c>
      <c r="J1839">
        <v>1590</v>
      </c>
      <c r="K1839">
        <v>2706981</v>
      </c>
      <c r="L1839" t="s">
        <v>1458</v>
      </c>
      <c r="M1839" t="str">
        <f>"V26720002"</f>
        <v>V26720002</v>
      </c>
      <c r="N1839" t="str">
        <f>"V26-72-0002"</f>
        <v>V26-72-0002</v>
      </c>
      <c r="O1839" t="str">
        <f>""</f>
        <v/>
      </c>
      <c r="P1839" t="s">
        <v>1567</v>
      </c>
      <c r="Q1839" t="str">
        <f>"4046001370090"</f>
        <v>4046001370090</v>
      </c>
      <c r="S1839" t="s">
        <v>1683</v>
      </c>
      <c r="T1839" s="1" t="s">
        <v>1571</v>
      </c>
      <c r="U1839">
        <v>830</v>
      </c>
      <c r="V1839" t="s">
        <v>1073</v>
      </c>
      <c r="W1839" t="s">
        <v>1077</v>
      </c>
      <c r="X1839" t="s">
        <v>626</v>
      </c>
      <c r="Y1839" t="s">
        <v>1078</v>
      </c>
    </row>
    <row r="1840" spans="1:25">
      <c r="A1840">
        <v>13531</v>
      </c>
      <c r="B1840" t="s">
        <v>25</v>
      </c>
      <c r="C1840" t="str">
        <f t="shared" si="58"/>
        <v>INTEGRA Saloon</v>
      </c>
      <c r="D1840" t="str">
        <f t="shared" si="57"/>
        <v>1.6 i</v>
      </c>
      <c r="E1840" t="s">
        <v>26</v>
      </c>
      <c r="F1840">
        <v>198501</v>
      </c>
      <c r="G1840">
        <v>199012</v>
      </c>
      <c r="H1840">
        <v>88</v>
      </c>
      <c r="I1840">
        <v>120</v>
      </c>
      <c r="J1840">
        <v>1590</v>
      </c>
      <c r="K1840">
        <v>2710868</v>
      </c>
      <c r="L1840" t="s">
        <v>1458</v>
      </c>
      <c r="M1840" t="str">
        <f>"V53720006"</f>
        <v>V53720006</v>
      </c>
      <c r="N1840" t="str">
        <f>"V53-72-0006"</f>
        <v>V53-72-0006</v>
      </c>
      <c r="O1840" t="str">
        <f>""</f>
        <v/>
      </c>
      <c r="P1840" t="s">
        <v>1073</v>
      </c>
      <c r="Q1840" t="str">
        <f>"4046001433931"</f>
        <v>4046001433931</v>
      </c>
      <c r="T1840" s="1" t="s">
        <v>1572</v>
      </c>
      <c r="U1840">
        <v>830</v>
      </c>
      <c r="V1840" t="s">
        <v>1073</v>
      </c>
      <c r="W1840" t="s">
        <v>1077</v>
      </c>
      <c r="X1840" t="s">
        <v>626</v>
      </c>
      <c r="Y1840" t="s">
        <v>1078</v>
      </c>
    </row>
    <row r="1841" spans="1:25">
      <c r="A1841">
        <v>13531</v>
      </c>
      <c r="B1841" t="s">
        <v>25</v>
      </c>
      <c r="C1841" t="str">
        <f t="shared" si="58"/>
        <v>INTEGRA Saloon</v>
      </c>
      <c r="D1841" t="str">
        <f t="shared" si="57"/>
        <v>1.6 i</v>
      </c>
      <c r="E1841" t="s">
        <v>26</v>
      </c>
      <c r="F1841">
        <v>198501</v>
      </c>
      <c r="G1841">
        <v>199012</v>
      </c>
      <c r="H1841">
        <v>88</v>
      </c>
      <c r="I1841">
        <v>120</v>
      </c>
      <c r="J1841">
        <v>1590</v>
      </c>
      <c r="K1841">
        <v>2902036</v>
      </c>
      <c r="L1841" t="s">
        <v>1520</v>
      </c>
      <c r="M1841" t="str">
        <f>"WS2556"</f>
        <v>WS2556</v>
      </c>
      <c r="N1841" t="str">
        <f>"WS2556"</f>
        <v>WS2556</v>
      </c>
      <c r="O1841" t="str">
        <f>""</f>
        <v/>
      </c>
      <c r="P1841" t="s">
        <v>1073</v>
      </c>
      <c r="Q1841" t="str">
        <f>"3531650011759"</f>
        <v>3531650011759</v>
      </c>
      <c r="R1841" t="s">
        <v>1573</v>
      </c>
      <c r="T1841" s="1" t="s">
        <v>1574</v>
      </c>
      <c r="U1841">
        <v>830</v>
      </c>
      <c r="V1841" t="s">
        <v>1073</v>
      </c>
      <c r="W1841" t="s">
        <v>1077</v>
      </c>
      <c r="X1841" t="s">
        <v>626</v>
      </c>
      <c r="Y1841" t="s">
        <v>1078</v>
      </c>
    </row>
    <row r="1842" spans="1:25">
      <c r="A1842">
        <v>13531</v>
      </c>
      <c r="B1842" t="s">
        <v>25</v>
      </c>
      <c r="C1842" t="str">
        <f t="shared" si="58"/>
        <v>INTEGRA Saloon</v>
      </c>
      <c r="D1842" t="str">
        <f t="shared" si="57"/>
        <v>1.6 i</v>
      </c>
      <c r="E1842" t="s">
        <v>26</v>
      </c>
      <c r="F1842">
        <v>198501</v>
      </c>
      <c r="G1842">
        <v>199012</v>
      </c>
      <c r="H1842">
        <v>88</v>
      </c>
      <c r="I1842">
        <v>120</v>
      </c>
      <c r="J1842">
        <v>1590</v>
      </c>
      <c r="K1842">
        <v>2987687</v>
      </c>
      <c r="L1842" t="s">
        <v>1528</v>
      </c>
      <c r="M1842" t="str">
        <f>"32310"</f>
        <v>32310</v>
      </c>
      <c r="N1842" t="str">
        <f>"32310"</f>
        <v>32310</v>
      </c>
      <c r="O1842" t="str">
        <f>""</f>
        <v/>
      </c>
      <c r="P1842" t="s">
        <v>1073</v>
      </c>
      <c r="Q1842" t="str">
        <f>"8435050603697"</f>
        <v>8435050603697</v>
      </c>
      <c r="T1842" t="s">
        <v>1710</v>
      </c>
      <c r="U1842">
        <v>830</v>
      </c>
      <c r="V1842" t="s">
        <v>1073</v>
      </c>
      <c r="W1842" t="s">
        <v>1077</v>
      </c>
      <c r="X1842" t="s">
        <v>626</v>
      </c>
      <c r="Y1842" t="s">
        <v>1078</v>
      </c>
    </row>
    <row r="1843" spans="1:25">
      <c r="A1843">
        <v>13531</v>
      </c>
      <c r="B1843" t="s">
        <v>25</v>
      </c>
      <c r="C1843" t="str">
        <f t="shared" si="58"/>
        <v>INTEGRA Saloon</v>
      </c>
      <c r="D1843" t="str">
        <f t="shared" si="57"/>
        <v>1.6 i</v>
      </c>
      <c r="E1843" t="s">
        <v>26</v>
      </c>
      <c r="F1843">
        <v>198501</v>
      </c>
      <c r="G1843">
        <v>199012</v>
      </c>
      <c r="H1843">
        <v>88</v>
      </c>
      <c r="I1843">
        <v>120</v>
      </c>
      <c r="J1843">
        <v>1590</v>
      </c>
      <c r="K1843">
        <v>3717112</v>
      </c>
      <c r="L1843" t="s">
        <v>1488</v>
      </c>
      <c r="M1843" t="str">
        <f>"1567"</f>
        <v>1567</v>
      </c>
      <c r="N1843" t="str">
        <f>"1567"</f>
        <v>1567</v>
      </c>
      <c r="O1843" t="str">
        <f>""</f>
        <v/>
      </c>
      <c r="P1843" t="s">
        <v>1073</v>
      </c>
      <c r="Q1843" t="str">
        <f>"8435120334971"</f>
        <v>8435120334971</v>
      </c>
      <c r="R1843" t="s">
        <v>1576</v>
      </c>
      <c r="T1843" s="1" t="s">
        <v>1577</v>
      </c>
      <c r="U1843">
        <v>830</v>
      </c>
      <c r="V1843" t="s">
        <v>1073</v>
      </c>
      <c r="W1843" t="s">
        <v>1077</v>
      </c>
      <c r="X1843" t="s">
        <v>626</v>
      </c>
      <c r="Y1843" t="s">
        <v>1078</v>
      </c>
    </row>
    <row r="1844" spans="1:25">
      <c r="A1844">
        <v>13531</v>
      </c>
      <c r="B1844" t="s">
        <v>25</v>
      </c>
      <c r="C1844" t="str">
        <f t="shared" si="58"/>
        <v>INTEGRA Saloon</v>
      </c>
      <c r="D1844" t="str">
        <f t="shared" si="57"/>
        <v>1.6 i</v>
      </c>
      <c r="E1844" t="s">
        <v>26</v>
      </c>
      <c r="F1844">
        <v>198501</v>
      </c>
      <c r="G1844">
        <v>199012</v>
      </c>
      <c r="H1844">
        <v>88</v>
      </c>
      <c r="I1844">
        <v>120</v>
      </c>
      <c r="J1844">
        <v>1590</v>
      </c>
      <c r="K1844">
        <v>3717141</v>
      </c>
      <c r="L1844" t="s">
        <v>1488</v>
      </c>
      <c r="M1844" t="str">
        <f>"1587"</f>
        <v>1587</v>
      </c>
      <c r="N1844" t="str">
        <f>"1587"</f>
        <v>1587</v>
      </c>
      <c r="O1844" t="str">
        <f>""</f>
        <v/>
      </c>
      <c r="P1844" t="s">
        <v>1073</v>
      </c>
      <c r="Q1844" t="str">
        <f>"8435120308422"</f>
        <v>8435120308422</v>
      </c>
      <c r="R1844" t="s">
        <v>1578</v>
      </c>
      <c r="T1844" s="1" t="s">
        <v>1579</v>
      </c>
      <c r="U1844">
        <v>830</v>
      </c>
      <c r="V1844" t="s">
        <v>1073</v>
      </c>
      <c r="W1844" t="s">
        <v>1077</v>
      </c>
      <c r="X1844" t="s">
        <v>626</v>
      </c>
      <c r="Y1844" t="s">
        <v>1078</v>
      </c>
    </row>
    <row r="1845" spans="1:25">
      <c r="A1845">
        <v>13531</v>
      </c>
      <c r="B1845" t="s">
        <v>25</v>
      </c>
      <c r="C1845" t="str">
        <f t="shared" si="58"/>
        <v>INTEGRA Saloon</v>
      </c>
      <c r="D1845" t="str">
        <f t="shared" si="57"/>
        <v>1.6 i</v>
      </c>
      <c r="E1845" t="s">
        <v>26</v>
      </c>
      <c r="F1845">
        <v>198501</v>
      </c>
      <c r="G1845">
        <v>199012</v>
      </c>
      <c r="H1845">
        <v>88</v>
      </c>
      <c r="I1845">
        <v>120</v>
      </c>
      <c r="J1845">
        <v>1590</v>
      </c>
      <c r="K1845">
        <v>3765075</v>
      </c>
      <c r="L1845" t="s">
        <v>1580</v>
      </c>
      <c r="M1845" t="str">
        <f>"210243"</f>
        <v>210243</v>
      </c>
      <c r="N1845" t="str">
        <f>"21-0243"</f>
        <v>21-0243</v>
      </c>
      <c r="O1845" t="str">
        <f>""</f>
        <v/>
      </c>
      <c r="P1845" t="s">
        <v>1073</v>
      </c>
      <c r="Q1845" t="str">
        <f>""</f>
        <v/>
      </c>
      <c r="S1845" t="s">
        <v>1253</v>
      </c>
      <c r="T1845" t="s">
        <v>1581</v>
      </c>
      <c r="U1845">
        <v>830</v>
      </c>
      <c r="V1845" t="s">
        <v>1073</v>
      </c>
      <c r="W1845" t="s">
        <v>1077</v>
      </c>
      <c r="X1845" t="s">
        <v>626</v>
      </c>
      <c r="Y1845" t="s">
        <v>1078</v>
      </c>
    </row>
    <row r="1846" spans="1:25">
      <c r="A1846">
        <v>13531</v>
      </c>
      <c r="B1846" t="s">
        <v>25</v>
      </c>
      <c r="C1846" t="str">
        <f t="shared" si="58"/>
        <v>INTEGRA Saloon</v>
      </c>
      <c r="D1846" t="str">
        <f t="shared" si="57"/>
        <v>1.6 i</v>
      </c>
      <c r="E1846" t="s">
        <v>26</v>
      </c>
      <c r="F1846">
        <v>198501</v>
      </c>
      <c r="G1846">
        <v>199012</v>
      </c>
      <c r="H1846">
        <v>88</v>
      </c>
      <c r="I1846">
        <v>120</v>
      </c>
      <c r="J1846">
        <v>1590</v>
      </c>
      <c r="K1846">
        <v>702218</v>
      </c>
      <c r="L1846" t="s">
        <v>1080</v>
      </c>
      <c r="M1846" t="str">
        <f>"333903"</f>
        <v>333903</v>
      </c>
      <c r="N1846" t="str">
        <f>"333903"</f>
        <v>333903</v>
      </c>
      <c r="O1846" t="str">
        <f>""</f>
        <v/>
      </c>
      <c r="P1846" t="s">
        <v>1081</v>
      </c>
      <c r="Q1846" t="str">
        <f>""</f>
        <v/>
      </c>
      <c r="R1846" t="s">
        <v>1082</v>
      </c>
      <c r="S1846" t="s">
        <v>221</v>
      </c>
      <c r="T1846" t="s">
        <v>1083</v>
      </c>
      <c r="U1846">
        <v>854</v>
      </c>
      <c r="V1846" t="s">
        <v>1081</v>
      </c>
      <c r="W1846" t="s">
        <v>1084</v>
      </c>
      <c r="X1846" t="s">
        <v>1085</v>
      </c>
    </row>
    <row r="1847" spans="1:25">
      <c r="A1847">
        <v>13531</v>
      </c>
      <c r="B1847" t="s">
        <v>25</v>
      </c>
      <c r="C1847" t="str">
        <f t="shared" si="58"/>
        <v>INTEGRA Saloon</v>
      </c>
      <c r="D1847" t="str">
        <f t="shared" ref="D1847:D1910" si="59">"1.6 i"</f>
        <v>1.6 i</v>
      </c>
      <c r="E1847" t="s">
        <v>26</v>
      </c>
      <c r="F1847">
        <v>198501</v>
      </c>
      <c r="G1847">
        <v>199012</v>
      </c>
      <c r="H1847">
        <v>88</v>
      </c>
      <c r="I1847">
        <v>120</v>
      </c>
      <c r="J1847">
        <v>1590</v>
      </c>
      <c r="K1847">
        <v>709200</v>
      </c>
      <c r="L1847" t="s">
        <v>1080</v>
      </c>
      <c r="M1847" t="str">
        <f>"103902"</f>
        <v>103902</v>
      </c>
      <c r="N1847" t="str">
        <f>"103902"</f>
        <v>103902</v>
      </c>
      <c r="O1847" t="str">
        <f>""</f>
        <v/>
      </c>
      <c r="P1847" t="s">
        <v>1081</v>
      </c>
      <c r="Q1847" t="str">
        <f>""</f>
        <v/>
      </c>
      <c r="R1847" t="s">
        <v>1086</v>
      </c>
      <c r="S1847" t="s">
        <v>310</v>
      </c>
      <c r="T1847" t="s">
        <v>1087</v>
      </c>
      <c r="U1847">
        <v>854</v>
      </c>
      <c r="V1847" t="s">
        <v>1081</v>
      </c>
      <c r="W1847" t="s">
        <v>1084</v>
      </c>
      <c r="X1847" t="s">
        <v>1085</v>
      </c>
    </row>
    <row r="1848" spans="1:25">
      <c r="A1848">
        <v>13531</v>
      </c>
      <c r="B1848" t="s">
        <v>25</v>
      </c>
      <c r="C1848" t="str">
        <f t="shared" si="58"/>
        <v>INTEGRA Saloon</v>
      </c>
      <c r="D1848" t="str">
        <f t="shared" si="59"/>
        <v>1.6 i</v>
      </c>
      <c r="E1848" t="s">
        <v>26</v>
      </c>
      <c r="F1848">
        <v>198501</v>
      </c>
      <c r="G1848">
        <v>199012</v>
      </c>
      <c r="H1848">
        <v>88</v>
      </c>
      <c r="I1848">
        <v>120</v>
      </c>
      <c r="J1848">
        <v>1590</v>
      </c>
      <c r="K1848">
        <v>709201</v>
      </c>
      <c r="L1848" t="s">
        <v>1080</v>
      </c>
      <c r="M1848" t="str">
        <f>"103903"</f>
        <v>103903</v>
      </c>
      <c r="N1848" t="str">
        <f>"103903"</f>
        <v>103903</v>
      </c>
      <c r="O1848" t="str">
        <f>""</f>
        <v/>
      </c>
      <c r="P1848" t="s">
        <v>1081</v>
      </c>
      <c r="Q1848" t="str">
        <f>""</f>
        <v/>
      </c>
      <c r="R1848" t="s">
        <v>1088</v>
      </c>
      <c r="S1848" t="s">
        <v>221</v>
      </c>
      <c r="T1848" t="s">
        <v>1089</v>
      </c>
      <c r="U1848">
        <v>854</v>
      </c>
      <c r="V1848" t="s">
        <v>1081</v>
      </c>
      <c r="W1848" t="s">
        <v>1084</v>
      </c>
      <c r="X1848" t="s">
        <v>1085</v>
      </c>
    </row>
    <row r="1849" spans="1:25">
      <c r="A1849">
        <v>13531</v>
      </c>
      <c r="B1849" t="s">
        <v>25</v>
      </c>
      <c r="C1849" t="str">
        <f t="shared" si="58"/>
        <v>INTEGRA Saloon</v>
      </c>
      <c r="D1849" t="str">
        <f t="shared" si="59"/>
        <v>1.6 i</v>
      </c>
      <c r="E1849" t="s">
        <v>26</v>
      </c>
      <c r="F1849">
        <v>198501</v>
      </c>
      <c r="G1849">
        <v>199012</v>
      </c>
      <c r="H1849">
        <v>88</v>
      </c>
      <c r="I1849">
        <v>120</v>
      </c>
      <c r="J1849">
        <v>1590</v>
      </c>
      <c r="K1849">
        <v>1221342</v>
      </c>
      <c r="L1849" t="s">
        <v>1090</v>
      </c>
      <c r="M1849" t="str">
        <f>"80411200SPORT"</f>
        <v>80411200SPORT</v>
      </c>
      <c r="N1849" t="str">
        <f>"8041-1200SPORT"</f>
        <v>8041-1200SPORT</v>
      </c>
      <c r="O1849" t="str">
        <f>""</f>
        <v/>
      </c>
      <c r="P1849" t="s">
        <v>1081</v>
      </c>
      <c r="Q1849" t="str">
        <f>""</f>
        <v/>
      </c>
      <c r="S1849" t="s">
        <v>1091</v>
      </c>
      <c r="U1849">
        <v>854</v>
      </c>
      <c r="V1849" t="s">
        <v>1081</v>
      </c>
      <c r="W1849" t="s">
        <v>1084</v>
      </c>
      <c r="X1849" t="s">
        <v>1085</v>
      </c>
    </row>
    <row r="1850" spans="1:25">
      <c r="A1850">
        <v>13531</v>
      </c>
      <c r="B1850" t="s">
        <v>25</v>
      </c>
      <c r="C1850" t="str">
        <f t="shared" si="58"/>
        <v>INTEGRA Saloon</v>
      </c>
      <c r="D1850" t="str">
        <f t="shared" si="59"/>
        <v>1.6 i</v>
      </c>
      <c r="E1850" t="s">
        <v>26</v>
      </c>
      <c r="F1850">
        <v>198501</v>
      </c>
      <c r="G1850">
        <v>199012</v>
      </c>
      <c r="H1850">
        <v>88</v>
      </c>
      <c r="I1850">
        <v>120</v>
      </c>
      <c r="J1850">
        <v>1590</v>
      </c>
      <c r="K1850">
        <v>1221343</v>
      </c>
      <c r="L1850" t="s">
        <v>1090</v>
      </c>
      <c r="M1850" t="str">
        <f>"80411201SPORT"</f>
        <v>80411201SPORT</v>
      </c>
      <c r="N1850" t="str">
        <f>"8041-1201SPORT"</f>
        <v>8041-1201SPORT</v>
      </c>
      <c r="O1850" t="str">
        <f>""</f>
        <v/>
      </c>
      <c r="P1850" t="s">
        <v>1081</v>
      </c>
      <c r="Q1850" t="str">
        <f>""</f>
        <v/>
      </c>
      <c r="S1850" t="s">
        <v>1092</v>
      </c>
      <c r="U1850">
        <v>854</v>
      </c>
      <c r="V1850" t="s">
        <v>1081</v>
      </c>
      <c r="W1850" t="s">
        <v>1084</v>
      </c>
      <c r="X1850" t="s">
        <v>1085</v>
      </c>
    </row>
    <row r="1851" spans="1:25">
      <c r="A1851">
        <v>13531</v>
      </c>
      <c r="B1851" t="s">
        <v>25</v>
      </c>
      <c r="C1851" t="str">
        <f t="shared" si="58"/>
        <v>INTEGRA Saloon</v>
      </c>
      <c r="D1851" t="str">
        <f t="shared" si="59"/>
        <v>1.6 i</v>
      </c>
      <c r="E1851" t="s">
        <v>26</v>
      </c>
      <c r="F1851">
        <v>198501</v>
      </c>
      <c r="G1851">
        <v>199012</v>
      </c>
      <c r="H1851">
        <v>88</v>
      </c>
      <c r="I1851">
        <v>120</v>
      </c>
      <c r="J1851">
        <v>1590</v>
      </c>
      <c r="K1851">
        <v>1610141</v>
      </c>
      <c r="L1851" t="s">
        <v>1093</v>
      </c>
      <c r="M1851" t="str">
        <f>"11072"</f>
        <v>11072</v>
      </c>
      <c r="N1851" t="str">
        <f>"11072"</f>
        <v>11072</v>
      </c>
      <c r="O1851" t="str">
        <f>""</f>
        <v/>
      </c>
      <c r="P1851" t="s">
        <v>1081</v>
      </c>
      <c r="Q1851" t="str">
        <f>"5412096053474"</f>
        <v>5412096053474</v>
      </c>
      <c r="R1851" t="s">
        <v>1094</v>
      </c>
      <c r="S1851" t="s">
        <v>1711</v>
      </c>
      <c r="T1851" s="1" t="s">
        <v>1096</v>
      </c>
      <c r="U1851">
        <v>854</v>
      </c>
      <c r="V1851" t="s">
        <v>1081</v>
      </c>
      <c r="W1851" t="s">
        <v>1084</v>
      </c>
      <c r="X1851" t="s">
        <v>1085</v>
      </c>
    </row>
    <row r="1852" spans="1:25">
      <c r="A1852">
        <v>13531</v>
      </c>
      <c r="B1852" t="s">
        <v>25</v>
      </c>
      <c r="C1852" t="str">
        <f t="shared" si="58"/>
        <v>INTEGRA Saloon</v>
      </c>
      <c r="D1852" t="str">
        <f t="shared" si="59"/>
        <v>1.6 i</v>
      </c>
      <c r="E1852" t="s">
        <v>26</v>
      </c>
      <c r="F1852">
        <v>198501</v>
      </c>
      <c r="G1852">
        <v>199012</v>
      </c>
      <c r="H1852">
        <v>88</v>
      </c>
      <c r="I1852">
        <v>120</v>
      </c>
      <c r="J1852">
        <v>1590</v>
      </c>
      <c r="K1852">
        <v>1623484</v>
      </c>
      <c r="L1852" t="s">
        <v>1093</v>
      </c>
      <c r="M1852" t="str">
        <f>"R3729"</f>
        <v>R3729</v>
      </c>
      <c r="N1852" t="str">
        <f>"R3729"</f>
        <v>R3729</v>
      </c>
      <c r="O1852" t="str">
        <f>""</f>
        <v/>
      </c>
      <c r="P1852" t="s">
        <v>1081</v>
      </c>
      <c r="Q1852" t="str">
        <f>"5412096135293"</f>
        <v>5412096135293</v>
      </c>
      <c r="R1852" t="s">
        <v>1097</v>
      </c>
      <c r="S1852" t="s">
        <v>221</v>
      </c>
      <c r="T1852" s="1" t="s">
        <v>1098</v>
      </c>
      <c r="U1852">
        <v>854</v>
      </c>
      <c r="V1852" t="s">
        <v>1081</v>
      </c>
      <c r="W1852" t="s">
        <v>1084</v>
      </c>
      <c r="X1852" t="s">
        <v>1085</v>
      </c>
    </row>
    <row r="1853" spans="1:25">
      <c r="A1853">
        <v>13531</v>
      </c>
      <c r="B1853" t="s">
        <v>25</v>
      </c>
      <c r="C1853" t="str">
        <f t="shared" si="58"/>
        <v>INTEGRA Saloon</v>
      </c>
      <c r="D1853" t="str">
        <f t="shared" si="59"/>
        <v>1.6 i</v>
      </c>
      <c r="E1853" t="s">
        <v>26</v>
      </c>
      <c r="F1853">
        <v>198501</v>
      </c>
      <c r="G1853">
        <v>199012</v>
      </c>
      <c r="H1853">
        <v>88</v>
      </c>
      <c r="I1853">
        <v>120</v>
      </c>
      <c r="J1853">
        <v>1590</v>
      </c>
      <c r="K1853">
        <v>1610053</v>
      </c>
      <c r="L1853" t="s">
        <v>1099</v>
      </c>
      <c r="M1853" t="str">
        <f>"9901149"</f>
        <v>9901149</v>
      </c>
      <c r="N1853" t="str">
        <f>"9901149"</f>
        <v>9901149</v>
      </c>
      <c r="O1853" t="str">
        <f>"111590"</f>
        <v>111590</v>
      </c>
      <c r="P1853" t="s">
        <v>1100</v>
      </c>
      <c r="Q1853" t="str">
        <f>"5410909419929"</f>
        <v>5410909419929</v>
      </c>
      <c r="R1853" s="1" t="s">
        <v>1582</v>
      </c>
      <c r="T1853" t="s">
        <v>1102</v>
      </c>
      <c r="U1853">
        <v>901</v>
      </c>
      <c r="V1853" t="s">
        <v>1103</v>
      </c>
      <c r="W1853" t="s">
        <v>1104</v>
      </c>
      <c r="X1853" t="s">
        <v>486</v>
      </c>
    </row>
    <row r="1854" spans="1:25">
      <c r="A1854">
        <v>13531</v>
      </c>
      <c r="B1854" t="s">
        <v>25</v>
      </c>
      <c r="C1854" t="str">
        <f t="shared" si="58"/>
        <v>INTEGRA Saloon</v>
      </c>
      <c r="D1854" t="str">
        <f t="shared" si="59"/>
        <v>1.6 i</v>
      </c>
      <c r="E1854" t="s">
        <v>26</v>
      </c>
      <c r="F1854">
        <v>198501</v>
      </c>
      <c r="G1854">
        <v>199012</v>
      </c>
      <c r="H1854">
        <v>88</v>
      </c>
      <c r="I1854">
        <v>120</v>
      </c>
      <c r="J1854">
        <v>1590</v>
      </c>
      <c r="K1854">
        <v>2622064</v>
      </c>
      <c r="L1854" t="s">
        <v>377</v>
      </c>
      <c r="M1854" t="str">
        <f>"JTE224"</f>
        <v>JTE224</v>
      </c>
      <c r="N1854" t="str">
        <f>"JTE224"</f>
        <v>JTE224</v>
      </c>
      <c r="O1854" t="str">
        <f>""</f>
        <v/>
      </c>
      <c r="P1854" t="s">
        <v>1105</v>
      </c>
      <c r="Q1854" t="str">
        <f>"3322937905812"</f>
        <v>3322937905812</v>
      </c>
      <c r="R1854" t="s">
        <v>1106</v>
      </c>
      <c r="S1854" t="s">
        <v>1107</v>
      </c>
      <c r="T1854" s="1" t="s">
        <v>1108</v>
      </c>
      <c r="U1854">
        <v>914</v>
      </c>
      <c r="V1854" t="s">
        <v>1105</v>
      </c>
      <c r="W1854" t="s">
        <v>210</v>
      </c>
      <c r="X1854" t="s">
        <v>211</v>
      </c>
      <c r="Y1854" t="s">
        <v>1105</v>
      </c>
    </row>
    <row r="1855" spans="1:25">
      <c r="A1855">
        <v>13531</v>
      </c>
      <c r="B1855" t="s">
        <v>25</v>
      </c>
      <c r="C1855" t="str">
        <f t="shared" si="58"/>
        <v>INTEGRA Saloon</v>
      </c>
      <c r="D1855" t="str">
        <f t="shared" si="59"/>
        <v>1.6 i</v>
      </c>
      <c r="E1855" t="s">
        <v>26</v>
      </c>
      <c r="F1855">
        <v>198501</v>
      </c>
      <c r="G1855">
        <v>199012</v>
      </c>
      <c r="H1855">
        <v>88</v>
      </c>
      <c r="I1855">
        <v>120</v>
      </c>
      <c r="J1855">
        <v>1590</v>
      </c>
      <c r="K1855">
        <v>3032093</v>
      </c>
      <c r="L1855" t="s">
        <v>33</v>
      </c>
      <c r="M1855" t="str">
        <f>"J4824000"</f>
        <v>J4824000</v>
      </c>
      <c r="N1855" t="str">
        <f>"J4824000"</f>
        <v>J4824000</v>
      </c>
      <c r="O1855" t="str">
        <f>""</f>
        <v/>
      </c>
      <c r="P1855" t="s">
        <v>1105</v>
      </c>
      <c r="Q1855" t="str">
        <f>"8711768064266"</f>
        <v>8711768064266</v>
      </c>
      <c r="R1855" t="s">
        <v>1109</v>
      </c>
      <c r="S1855" t="s">
        <v>1110</v>
      </c>
      <c r="T1855" s="1" t="s">
        <v>1111</v>
      </c>
      <c r="U1855">
        <v>914</v>
      </c>
      <c r="V1855" t="s">
        <v>1105</v>
      </c>
      <c r="W1855" t="s">
        <v>210</v>
      </c>
      <c r="X1855" t="s">
        <v>211</v>
      </c>
      <c r="Y1855" t="s">
        <v>1105</v>
      </c>
    </row>
    <row r="1856" spans="1:25">
      <c r="A1856">
        <v>13531</v>
      </c>
      <c r="B1856" t="s">
        <v>25</v>
      </c>
      <c r="C1856" t="str">
        <f t="shared" si="58"/>
        <v>INTEGRA Saloon</v>
      </c>
      <c r="D1856" t="str">
        <f t="shared" si="59"/>
        <v>1.6 i</v>
      </c>
      <c r="E1856" t="s">
        <v>26</v>
      </c>
      <c r="F1856">
        <v>198501</v>
      </c>
      <c r="G1856">
        <v>199012</v>
      </c>
      <c r="H1856">
        <v>88</v>
      </c>
      <c r="I1856">
        <v>120</v>
      </c>
      <c r="J1856">
        <v>1590</v>
      </c>
      <c r="K1856">
        <v>3800739</v>
      </c>
      <c r="L1856" t="s">
        <v>1112</v>
      </c>
      <c r="M1856" t="str">
        <f>"FTR4078"</f>
        <v>FTR4078</v>
      </c>
      <c r="N1856" t="str">
        <f>"FTR4078"</f>
        <v>FTR4078</v>
      </c>
      <c r="O1856" t="str">
        <f>""</f>
        <v/>
      </c>
      <c r="P1856" t="s">
        <v>1105</v>
      </c>
      <c r="Q1856" t="str">
        <f>""</f>
        <v/>
      </c>
      <c r="R1856" t="s">
        <v>1113</v>
      </c>
      <c r="S1856" t="s">
        <v>1114</v>
      </c>
      <c r="T1856" s="1" t="s">
        <v>1115</v>
      </c>
      <c r="U1856">
        <v>914</v>
      </c>
      <c r="V1856" t="s">
        <v>1105</v>
      </c>
      <c r="W1856" t="s">
        <v>210</v>
      </c>
      <c r="X1856" t="s">
        <v>211</v>
      </c>
      <c r="Y1856" t="s">
        <v>1105</v>
      </c>
    </row>
    <row r="1857" spans="1:25">
      <c r="A1857">
        <v>13531</v>
      </c>
      <c r="B1857" t="s">
        <v>25</v>
      </c>
      <c r="C1857" t="str">
        <f t="shared" si="58"/>
        <v>INTEGRA Saloon</v>
      </c>
      <c r="D1857" t="str">
        <f t="shared" si="59"/>
        <v>1.6 i</v>
      </c>
      <c r="E1857" t="s">
        <v>26</v>
      </c>
      <c r="F1857">
        <v>198501</v>
      </c>
      <c r="G1857">
        <v>199012</v>
      </c>
      <c r="H1857">
        <v>88</v>
      </c>
      <c r="I1857">
        <v>120</v>
      </c>
      <c r="J1857">
        <v>1590</v>
      </c>
      <c r="K1857">
        <v>3964792</v>
      </c>
      <c r="L1857" t="s">
        <v>27</v>
      </c>
      <c r="M1857" t="str">
        <f>"H58915"</f>
        <v>H58915</v>
      </c>
      <c r="N1857" t="str">
        <f>"H589-15"</f>
        <v>H589-15</v>
      </c>
      <c r="O1857" t="str">
        <f>""</f>
        <v/>
      </c>
      <c r="P1857" t="s">
        <v>1105</v>
      </c>
      <c r="Q1857" t="str">
        <f>"8718993219737"</f>
        <v>8718993219737</v>
      </c>
      <c r="R1857" t="s">
        <v>1116</v>
      </c>
      <c r="S1857" t="s">
        <v>1117</v>
      </c>
      <c r="T1857" s="1" t="s">
        <v>1118</v>
      </c>
      <c r="U1857">
        <v>914</v>
      </c>
      <c r="V1857" t="s">
        <v>1105</v>
      </c>
      <c r="W1857" t="s">
        <v>210</v>
      </c>
      <c r="X1857" t="s">
        <v>211</v>
      </c>
      <c r="Y1857" t="s">
        <v>1105</v>
      </c>
    </row>
    <row r="1858" spans="1:25">
      <c r="A1858">
        <v>13531</v>
      </c>
      <c r="B1858" t="s">
        <v>25</v>
      </c>
      <c r="C1858" t="str">
        <f t="shared" ref="C1858:C1921" si="60">"INTEGRA Saloon"</f>
        <v>INTEGRA Saloon</v>
      </c>
      <c r="D1858" t="str">
        <f t="shared" si="59"/>
        <v>1.6 i</v>
      </c>
      <c r="E1858" t="s">
        <v>26</v>
      </c>
      <c r="F1858">
        <v>198501</v>
      </c>
      <c r="G1858">
        <v>199012</v>
      </c>
      <c r="H1858">
        <v>88</v>
      </c>
      <c r="I1858">
        <v>120</v>
      </c>
      <c r="J1858">
        <v>1590</v>
      </c>
      <c r="K1858">
        <v>4117175</v>
      </c>
      <c r="L1858" t="s">
        <v>1119</v>
      </c>
      <c r="M1858" t="str">
        <f>"BTR4078"</f>
        <v>BTR4078</v>
      </c>
      <c r="N1858" t="str">
        <f>"BTR4078"</f>
        <v>BTR4078</v>
      </c>
      <c r="O1858" t="str">
        <f>""</f>
        <v/>
      </c>
      <c r="P1858" t="s">
        <v>1105</v>
      </c>
      <c r="Q1858" t="str">
        <f>""</f>
        <v/>
      </c>
      <c r="R1858" t="s">
        <v>1113</v>
      </c>
      <c r="S1858" t="s">
        <v>1114</v>
      </c>
      <c r="T1858" s="1" t="s">
        <v>1115</v>
      </c>
      <c r="U1858">
        <v>914</v>
      </c>
      <c r="V1858" t="s">
        <v>1105</v>
      </c>
      <c r="W1858" t="s">
        <v>210</v>
      </c>
      <c r="X1858" t="s">
        <v>211</v>
      </c>
      <c r="Y1858" t="s">
        <v>1105</v>
      </c>
    </row>
    <row r="1859" spans="1:25">
      <c r="A1859">
        <v>13531</v>
      </c>
      <c r="B1859" t="s">
        <v>25</v>
      </c>
      <c r="C1859" t="str">
        <f t="shared" si="60"/>
        <v>INTEGRA Saloon</v>
      </c>
      <c r="D1859" t="str">
        <f t="shared" si="59"/>
        <v>1.6 i</v>
      </c>
      <c r="E1859" t="s">
        <v>26</v>
      </c>
      <c r="F1859">
        <v>198501</v>
      </c>
      <c r="G1859">
        <v>199012</v>
      </c>
      <c r="H1859">
        <v>88</v>
      </c>
      <c r="I1859">
        <v>120</v>
      </c>
      <c r="J1859">
        <v>1590</v>
      </c>
      <c r="K1859">
        <v>4193922</v>
      </c>
      <c r="L1859" t="s">
        <v>314</v>
      </c>
      <c r="M1859" t="str">
        <f>"22012"</f>
        <v>22012</v>
      </c>
      <c r="N1859" t="str">
        <f>"22012"</f>
        <v>22012</v>
      </c>
      <c r="O1859" t="str">
        <f>""</f>
        <v/>
      </c>
      <c r="P1859" t="s">
        <v>1105</v>
      </c>
      <c r="Q1859" t="str">
        <f>""</f>
        <v/>
      </c>
      <c r="R1859" t="s">
        <v>1120</v>
      </c>
      <c r="S1859" t="s">
        <v>1107</v>
      </c>
      <c r="T1859" t="s">
        <v>1121</v>
      </c>
      <c r="U1859">
        <v>914</v>
      </c>
      <c r="V1859" t="s">
        <v>1105</v>
      </c>
      <c r="W1859" t="s">
        <v>210</v>
      </c>
      <c r="X1859" t="s">
        <v>211</v>
      </c>
      <c r="Y1859" t="s">
        <v>1105</v>
      </c>
    </row>
    <row r="1860" spans="1:25">
      <c r="A1860">
        <v>13531</v>
      </c>
      <c r="B1860" t="s">
        <v>25</v>
      </c>
      <c r="C1860" t="str">
        <f t="shared" si="60"/>
        <v>INTEGRA Saloon</v>
      </c>
      <c r="D1860" t="str">
        <f t="shared" si="59"/>
        <v>1.6 i</v>
      </c>
      <c r="E1860" t="s">
        <v>26</v>
      </c>
      <c r="F1860">
        <v>198501</v>
      </c>
      <c r="G1860">
        <v>199012</v>
      </c>
      <c r="H1860">
        <v>88</v>
      </c>
      <c r="I1860">
        <v>120</v>
      </c>
      <c r="J1860">
        <v>1590</v>
      </c>
      <c r="K1860">
        <v>2898527</v>
      </c>
      <c r="L1860" t="s">
        <v>1461</v>
      </c>
      <c r="M1860" t="str">
        <f>"160926"</f>
        <v>160926</v>
      </c>
      <c r="N1860" t="str">
        <f>"160926"</f>
        <v>160926</v>
      </c>
      <c r="O1860" t="str">
        <f>""</f>
        <v/>
      </c>
      <c r="P1860" t="s">
        <v>1583</v>
      </c>
      <c r="Q1860" t="str">
        <f>""</f>
        <v/>
      </c>
      <c r="R1860" t="s">
        <v>1584</v>
      </c>
      <c r="T1860" s="1" t="s">
        <v>1712</v>
      </c>
      <c r="U1860">
        <v>932</v>
      </c>
      <c r="V1860" t="s">
        <v>1583</v>
      </c>
      <c r="W1860" t="s">
        <v>1586</v>
      </c>
      <c r="X1860" t="s">
        <v>1025</v>
      </c>
    </row>
    <row r="1861" spans="1:25">
      <c r="A1861">
        <v>13531</v>
      </c>
      <c r="B1861" t="s">
        <v>25</v>
      </c>
      <c r="C1861" t="str">
        <f t="shared" si="60"/>
        <v>INTEGRA Saloon</v>
      </c>
      <c r="D1861" t="str">
        <f t="shared" si="59"/>
        <v>1.6 i</v>
      </c>
      <c r="E1861" t="s">
        <v>26</v>
      </c>
      <c r="F1861">
        <v>198501</v>
      </c>
      <c r="G1861">
        <v>199012</v>
      </c>
      <c r="H1861">
        <v>88</v>
      </c>
      <c r="I1861">
        <v>120</v>
      </c>
      <c r="J1861">
        <v>1590</v>
      </c>
      <c r="K1861">
        <v>3964034</v>
      </c>
      <c r="L1861" t="s">
        <v>27</v>
      </c>
      <c r="M1861" t="str">
        <f>"H14409"</f>
        <v>H14409</v>
      </c>
      <c r="N1861" t="str">
        <f>"H144-09"</f>
        <v>H144-09</v>
      </c>
      <c r="O1861" t="str">
        <f>""</f>
        <v/>
      </c>
      <c r="P1861" t="s">
        <v>1583</v>
      </c>
      <c r="Q1861" t="str">
        <f>"8718993211519"</f>
        <v>8718993211519</v>
      </c>
      <c r="T1861" t="s">
        <v>1587</v>
      </c>
      <c r="U1861">
        <v>932</v>
      </c>
      <c r="V1861" t="s">
        <v>1583</v>
      </c>
      <c r="W1861" t="s">
        <v>1586</v>
      </c>
      <c r="X1861" t="s">
        <v>1025</v>
      </c>
    </row>
    <row r="1862" spans="1:25">
      <c r="A1862">
        <v>13531</v>
      </c>
      <c r="B1862" t="s">
        <v>25</v>
      </c>
      <c r="C1862" t="str">
        <f t="shared" si="60"/>
        <v>INTEGRA Saloon</v>
      </c>
      <c r="D1862" t="str">
        <f t="shared" si="59"/>
        <v>1.6 i</v>
      </c>
      <c r="E1862" t="s">
        <v>26</v>
      </c>
      <c r="F1862">
        <v>198501</v>
      </c>
      <c r="G1862">
        <v>199012</v>
      </c>
      <c r="H1862">
        <v>88</v>
      </c>
      <c r="I1862">
        <v>120</v>
      </c>
      <c r="J1862">
        <v>1590</v>
      </c>
      <c r="K1862">
        <v>4130912</v>
      </c>
      <c r="L1862" t="s">
        <v>1291</v>
      </c>
      <c r="M1862" t="str">
        <f>"RK6304"</f>
        <v>RK6304</v>
      </c>
      <c r="N1862" t="str">
        <f>"RK6304"</f>
        <v>RK6304</v>
      </c>
      <c r="O1862" t="str">
        <f>""</f>
        <v/>
      </c>
      <c r="P1862" t="s">
        <v>1588</v>
      </c>
      <c r="Q1862" t="str">
        <f>""</f>
        <v/>
      </c>
      <c r="S1862" t="s">
        <v>1293</v>
      </c>
      <c r="T1862" t="s">
        <v>1589</v>
      </c>
      <c r="U1862">
        <v>979</v>
      </c>
      <c r="V1862" t="s">
        <v>1588</v>
      </c>
      <c r="W1862" t="s">
        <v>649</v>
      </c>
      <c r="X1862" t="s">
        <v>641</v>
      </c>
      <c r="Y1862" t="s">
        <v>656</v>
      </c>
    </row>
    <row r="1863" spans="1:25">
      <c r="A1863">
        <v>13531</v>
      </c>
      <c r="B1863" t="s">
        <v>25</v>
      </c>
      <c r="C1863" t="str">
        <f t="shared" si="60"/>
        <v>INTEGRA Saloon</v>
      </c>
      <c r="D1863" t="str">
        <f t="shared" si="59"/>
        <v>1.6 i</v>
      </c>
      <c r="E1863" t="s">
        <v>26</v>
      </c>
      <c r="F1863">
        <v>198501</v>
      </c>
      <c r="G1863">
        <v>199012</v>
      </c>
      <c r="H1863">
        <v>88</v>
      </c>
      <c r="I1863">
        <v>120</v>
      </c>
      <c r="J1863">
        <v>1590</v>
      </c>
      <c r="K1863">
        <v>2231018</v>
      </c>
      <c r="L1863" t="s">
        <v>181</v>
      </c>
      <c r="M1863" t="str">
        <f>"862569092"</f>
        <v>862569092</v>
      </c>
      <c r="N1863" t="str">
        <f>"8625 69092"</f>
        <v>8625 69092</v>
      </c>
      <c r="O1863" t="str">
        <f>""</f>
        <v/>
      </c>
      <c r="P1863" t="s">
        <v>1122</v>
      </c>
      <c r="Q1863" t="str">
        <f>"5709147077535"</f>
        <v>5709147077535</v>
      </c>
      <c r="R1863" t="s">
        <v>1590</v>
      </c>
      <c r="T1863" s="1" t="s">
        <v>1591</v>
      </c>
      <c r="U1863">
        <v>1103</v>
      </c>
      <c r="V1863" t="s">
        <v>1122</v>
      </c>
      <c r="W1863" t="s">
        <v>1069</v>
      </c>
      <c r="X1863" t="s">
        <v>626</v>
      </c>
      <c r="Y1863" t="s">
        <v>950</v>
      </c>
    </row>
    <row r="1864" spans="1:25">
      <c r="A1864">
        <v>13531</v>
      </c>
      <c r="B1864" t="s">
        <v>25</v>
      </c>
      <c r="C1864" t="str">
        <f t="shared" si="60"/>
        <v>INTEGRA Saloon</v>
      </c>
      <c r="D1864" t="str">
        <f t="shared" si="59"/>
        <v>1.6 i</v>
      </c>
      <c r="E1864" t="s">
        <v>26</v>
      </c>
      <c r="F1864">
        <v>198501</v>
      </c>
      <c r="G1864">
        <v>199012</v>
      </c>
      <c r="H1864">
        <v>88</v>
      </c>
      <c r="I1864">
        <v>120</v>
      </c>
      <c r="J1864">
        <v>1590</v>
      </c>
      <c r="K1864">
        <v>2592781</v>
      </c>
      <c r="L1864" t="s">
        <v>1453</v>
      </c>
      <c r="M1864" t="str">
        <f>"75036"</f>
        <v>75036</v>
      </c>
      <c r="N1864" t="str">
        <f>"7.5036"</f>
        <v>7.5036</v>
      </c>
      <c r="O1864" t="str">
        <f>"EPS 1.850.036"</f>
        <v>EPS 1.850.036</v>
      </c>
      <c r="P1864" t="s">
        <v>1122</v>
      </c>
      <c r="Q1864" t="str">
        <f>"8012510042946"</f>
        <v>8012510042946</v>
      </c>
      <c r="S1864" t="s">
        <v>1632</v>
      </c>
      <c r="T1864" s="1" t="s">
        <v>1592</v>
      </c>
      <c r="U1864">
        <v>1103</v>
      </c>
      <c r="V1864" t="s">
        <v>1122</v>
      </c>
      <c r="W1864" t="s">
        <v>1069</v>
      </c>
      <c r="X1864" t="s">
        <v>626</v>
      </c>
      <c r="Y1864" t="s">
        <v>950</v>
      </c>
    </row>
    <row r="1865" spans="1:25">
      <c r="A1865">
        <v>13531</v>
      </c>
      <c r="B1865" t="s">
        <v>25</v>
      </c>
      <c r="C1865" t="str">
        <f t="shared" si="60"/>
        <v>INTEGRA Saloon</v>
      </c>
      <c r="D1865" t="str">
        <f t="shared" si="59"/>
        <v>1.6 i</v>
      </c>
      <c r="E1865" t="s">
        <v>26</v>
      </c>
      <c r="F1865">
        <v>198501</v>
      </c>
      <c r="G1865">
        <v>199012</v>
      </c>
      <c r="H1865">
        <v>88</v>
      </c>
      <c r="I1865">
        <v>120</v>
      </c>
      <c r="J1865">
        <v>1590</v>
      </c>
      <c r="K1865">
        <v>2707056</v>
      </c>
      <c r="L1865" t="s">
        <v>1458</v>
      </c>
      <c r="M1865" t="str">
        <f>"V26990014"</f>
        <v>V26990014</v>
      </c>
      <c r="N1865" t="str">
        <f>"V26-99-0014"</f>
        <v>V26-99-0014</v>
      </c>
      <c r="O1865" t="str">
        <f>""</f>
        <v/>
      </c>
      <c r="P1865" t="s">
        <v>1122</v>
      </c>
      <c r="Q1865" t="str">
        <f>"4046001563508"</f>
        <v>4046001563508</v>
      </c>
      <c r="T1865" s="1" t="s">
        <v>1593</v>
      </c>
      <c r="U1865">
        <v>1103</v>
      </c>
      <c r="V1865" t="s">
        <v>1122</v>
      </c>
      <c r="W1865" t="s">
        <v>1069</v>
      </c>
      <c r="X1865" t="s">
        <v>626</v>
      </c>
      <c r="Y1865" t="s">
        <v>950</v>
      </c>
    </row>
    <row r="1866" spans="1:25">
      <c r="A1866">
        <v>13531</v>
      </c>
      <c r="B1866" t="s">
        <v>25</v>
      </c>
      <c r="C1866" t="str">
        <f t="shared" si="60"/>
        <v>INTEGRA Saloon</v>
      </c>
      <c r="D1866" t="str">
        <f t="shared" si="59"/>
        <v>1.6 i</v>
      </c>
      <c r="E1866" t="s">
        <v>26</v>
      </c>
      <c r="F1866">
        <v>198501</v>
      </c>
      <c r="G1866">
        <v>199012</v>
      </c>
      <c r="H1866">
        <v>88</v>
      </c>
      <c r="I1866">
        <v>120</v>
      </c>
      <c r="J1866">
        <v>1590</v>
      </c>
      <c r="K1866">
        <v>2947853</v>
      </c>
      <c r="L1866" t="s">
        <v>1463</v>
      </c>
      <c r="M1866" t="str">
        <f>"330174"</f>
        <v>330174</v>
      </c>
      <c r="N1866" t="str">
        <f>"330174"</f>
        <v>330174</v>
      </c>
      <c r="O1866" t="str">
        <f>""</f>
        <v/>
      </c>
      <c r="P1866" t="s">
        <v>1122</v>
      </c>
      <c r="Q1866" t="str">
        <f>""</f>
        <v/>
      </c>
      <c r="R1866" t="s">
        <v>1594</v>
      </c>
      <c r="T1866" t="s">
        <v>1595</v>
      </c>
      <c r="U1866">
        <v>1103</v>
      </c>
      <c r="V1866" t="s">
        <v>1122</v>
      </c>
      <c r="W1866" t="s">
        <v>1069</v>
      </c>
      <c r="X1866" t="s">
        <v>626</v>
      </c>
      <c r="Y1866" t="s">
        <v>950</v>
      </c>
    </row>
    <row r="1867" spans="1:25">
      <c r="A1867">
        <v>13531</v>
      </c>
      <c r="B1867" t="s">
        <v>25</v>
      </c>
      <c r="C1867" t="str">
        <f t="shared" si="60"/>
        <v>INTEGRA Saloon</v>
      </c>
      <c r="D1867" t="str">
        <f t="shared" si="59"/>
        <v>1.6 i</v>
      </c>
      <c r="E1867" t="s">
        <v>26</v>
      </c>
      <c r="F1867">
        <v>198501</v>
      </c>
      <c r="G1867">
        <v>199012</v>
      </c>
      <c r="H1867">
        <v>88</v>
      </c>
      <c r="I1867">
        <v>120</v>
      </c>
      <c r="J1867">
        <v>1590</v>
      </c>
      <c r="K1867">
        <v>2988133</v>
      </c>
      <c r="L1867" t="s">
        <v>1528</v>
      </c>
      <c r="M1867" t="str">
        <f>"37450"</f>
        <v>37450</v>
      </c>
      <c r="N1867" t="str">
        <f>"37450"</f>
        <v>37450</v>
      </c>
      <c r="O1867" t="str">
        <f>""</f>
        <v/>
      </c>
      <c r="P1867" t="s">
        <v>1122</v>
      </c>
      <c r="Q1867" t="str">
        <f>"8435050606117"</f>
        <v>8435050606117</v>
      </c>
      <c r="R1867" t="s">
        <v>1713</v>
      </c>
      <c r="T1867" t="s">
        <v>1714</v>
      </c>
      <c r="U1867">
        <v>1103</v>
      </c>
      <c r="V1867" t="s">
        <v>1122</v>
      </c>
      <c r="W1867" t="s">
        <v>1069</v>
      </c>
      <c r="X1867" t="s">
        <v>626</v>
      </c>
      <c r="Y1867" t="s">
        <v>950</v>
      </c>
    </row>
    <row r="1868" spans="1:25">
      <c r="A1868">
        <v>13531</v>
      </c>
      <c r="B1868" t="s">
        <v>25</v>
      </c>
      <c r="C1868" t="str">
        <f t="shared" si="60"/>
        <v>INTEGRA Saloon</v>
      </c>
      <c r="D1868" t="str">
        <f t="shared" si="59"/>
        <v>1.6 i</v>
      </c>
      <c r="E1868" t="s">
        <v>26</v>
      </c>
      <c r="F1868">
        <v>198501</v>
      </c>
      <c r="G1868">
        <v>199012</v>
      </c>
      <c r="H1868">
        <v>88</v>
      </c>
      <c r="I1868">
        <v>120</v>
      </c>
      <c r="J1868">
        <v>1590</v>
      </c>
      <c r="K1868">
        <v>3034994</v>
      </c>
      <c r="L1868" t="s">
        <v>33</v>
      </c>
      <c r="M1868" t="str">
        <f>"J5654000"</f>
        <v>J5654000</v>
      </c>
      <c r="N1868" t="str">
        <f>"J5654000"</f>
        <v>J5654000</v>
      </c>
      <c r="O1868" t="str">
        <f>""</f>
        <v/>
      </c>
      <c r="P1868" t="s">
        <v>1122</v>
      </c>
      <c r="Q1868" t="str">
        <f>"8711768075880"</f>
        <v>8711768075880</v>
      </c>
      <c r="R1868" t="s">
        <v>1123</v>
      </c>
      <c r="T1868" t="s">
        <v>1124</v>
      </c>
      <c r="U1868">
        <v>1103</v>
      </c>
      <c r="V1868" t="s">
        <v>1122</v>
      </c>
      <c r="W1868" t="s">
        <v>1069</v>
      </c>
      <c r="X1868" t="s">
        <v>626</v>
      </c>
      <c r="Y1868" t="s">
        <v>950</v>
      </c>
    </row>
    <row r="1869" spans="1:25">
      <c r="A1869">
        <v>13531</v>
      </c>
      <c r="B1869" t="s">
        <v>25</v>
      </c>
      <c r="C1869" t="str">
        <f t="shared" si="60"/>
        <v>INTEGRA Saloon</v>
      </c>
      <c r="D1869" t="str">
        <f t="shared" si="59"/>
        <v>1.6 i</v>
      </c>
      <c r="E1869" t="s">
        <v>26</v>
      </c>
      <c r="F1869">
        <v>198501</v>
      </c>
      <c r="G1869">
        <v>199012</v>
      </c>
      <c r="H1869">
        <v>88</v>
      </c>
      <c r="I1869">
        <v>120</v>
      </c>
      <c r="J1869">
        <v>1590</v>
      </c>
      <c r="K1869">
        <v>3963911</v>
      </c>
      <c r="L1869" t="s">
        <v>27</v>
      </c>
      <c r="M1869" t="str">
        <f>"H10101"</f>
        <v>H10101</v>
      </c>
      <c r="N1869" t="str">
        <f>"H101-01"</f>
        <v>H101-01</v>
      </c>
      <c r="O1869" t="str">
        <f>""</f>
        <v/>
      </c>
      <c r="P1869" t="s">
        <v>1122</v>
      </c>
      <c r="Q1869" t="str">
        <f>"8718993209721"</f>
        <v>8718993209721</v>
      </c>
      <c r="R1869" t="s">
        <v>1125</v>
      </c>
      <c r="T1869" s="1" t="s">
        <v>1126</v>
      </c>
      <c r="U1869">
        <v>1103</v>
      </c>
      <c r="V1869" t="s">
        <v>1122</v>
      </c>
      <c r="W1869" t="s">
        <v>1069</v>
      </c>
      <c r="X1869" t="s">
        <v>626</v>
      </c>
      <c r="Y1869" t="s">
        <v>950</v>
      </c>
    </row>
    <row r="1870" spans="1:25">
      <c r="A1870">
        <v>13531</v>
      </c>
      <c r="B1870" t="s">
        <v>25</v>
      </c>
      <c r="C1870" t="str">
        <f t="shared" si="60"/>
        <v>INTEGRA Saloon</v>
      </c>
      <c r="D1870" t="str">
        <f t="shared" si="59"/>
        <v>1.6 i</v>
      </c>
      <c r="E1870" t="s">
        <v>26</v>
      </c>
      <c r="F1870">
        <v>198501</v>
      </c>
      <c r="G1870">
        <v>199012</v>
      </c>
      <c r="H1870">
        <v>88</v>
      </c>
      <c r="I1870">
        <v>120</v>
      </c>
      <c r="J1870">
        <v>1590</v>
      </c>
      <c r="K1870">
        <v>472977</v>
      </c>
      <c r="L1870" t="s">
        <v>746</v>
      </c>
      <c r="M1870" t="str">
        <f>"MBA1090"</f>
        <v>MBA1090</v>
      </c>
      <c r="N1870" t="str">
        <f>"MBA1090"</f>
        <v>MBA1090</v>
      </c>
      <c r="O1870" t="str">
        <f>"97200 0484"</f>
        <v>97200 0484</v>
      </c>
      <c r="P1870" t="s">
        <v>1127</v>
      </c>
      <c r="Q1870" t="str">
        <f>"5706021006452"</f>
        <v>5706021006452</v>
      </c>
      <c r="R1870" t="s">
        <v>1128</v>
      </c>
      <c r="S1870" t="s">
        <v>310</v>
      </c>
      <c r="T1870" t="s">
        <v>1129</v>
      </c>
      <c r="U1870">
        <v>1164</v>
      </c>
      <c r="V1870" t="s">
        <v>1127</v>
      </c>
      <c r="W1870" t="s">
        <v>1130</v>
      </c>
      <c r="X1870" t="s">
        <v>224</v>
      </c>
      <c r="Y1870" t="s">
        <v>1131</v>
      </c>
    </row>
    <row r="1871" spans="1:25">
      <c r="A1871">
        <v>13531</v>
      </c>
      <c r="B1871" t="s">
        <v>25</v>
      </c>
      <c r="C1871" t="str">
        <f t="shared" si="60"/>
        <v>INTEGRA Saloon</v>
      </c>
      <c r="D1871" t="str">
        <f t="shared" si="59"/>
        <v>1.6 i</v>
      </c>
      <c r="E1871" t="s">
        <v>26</v>
      </c>
      <c r="F1871">
        <v>198501</v>
      </c>
      <c r="G1871">
        <v>199012</v>
      </c>
      <c r="H1871">
        <v>88</v>
      </c>
      <c r="I1871">
        <v>120</v>
      </c>
      <c r="J1871">
        <v>1590</v>
      </c>
      <c r="K1871">
        <v>2624540</v>
      </c>
      <c r="L1871" t="s">
        <v>377</v>
      </c>
      <c r="M1871" t="str">
        <f>"PFK239"</f>
        <v>PFK239</v>
      </c>
      <c r="N1871" t="str">
        <f>"PFK239"</f>
        <v>PFK239</v>
      </c>
      <c r="O1871" t="str">
        <f>""</f>
        <v/>
      </c>
      <c r="P1871" t="s">
        <v>1127</v>
      </c>
      <c r="Q1871" t="str">
        <f>"3322937106370"</f>
        <v>3322937106370</v>
      </c>
      <c r="R1871" t="s">
        <v>1132</v>
      </c>
      <c r="S1871" t="s">
        <v>316</v>
      </c>
      <c r="T1871" t="s">
        <v>1133</v>
      </c>
      <c r="U1871">
        <v>1164</v>
      </c>
      <c r="V1871" t="s">
        <v>1127</v>
      </c>
      <c r="W1871" t="s">
        <v>1130</v>
      </c>
      <c r="X1871" t="s">
        <v>224</v>
      </c>
      <c r="Y1871" t="s">
        <v>1131</v>
      </c>
    </row>
    <row r="1872" spans="1:25">
      <c r="A1872">
        <v>13531</v>
      </c>
      <c r="B1872" t="s">
        <v>25</v>
      </c>
      <c r="C1872" t="str">
        <f t="shared" si="60"/>
        <v>INTEGRA Saloon</v>
      </c>
      <c r="D1872" t="str">
        <f t="shared" si="59"/>
        <v>1.6 i</v>
      </c>
      <c r="E1872" t="s">
        <v>26</v>
      </c>
      <c r="F1872">
        <v>198501</v>
      </c>
      <c r="G1872">
        <v>199012</v>
      </c>
      <c r="H1872">
        <v>88</v>
      </c>
      <c r="I1872">
        <v>120</v>
      </c>
      <c r="J1872">
        <v>1590</v>
      </c>
      <c r="K1872">
        <v>2954943</v>
      </c>
      <c r="L1872" t="s">
        <v>1715</v>
      </c>
      <c r="M1872" t="str">
        <f>"PI060005"</f>
        <v>PI060005</v>
      </c>
      <c r="N1872" t="str">
        <f>"PI 06-0005"</f>
        <v>PI 06-0005</v>
      </c>
      <c r="O1872" t="str">
        <f>""</f>
        <v/>
      </c>
      <c r="P1872" t="s">
        <v>1716</v>
      </c>
      <c r="Q1872" t="str">
        <f>"8116000000208"</f>
        <v>8116000000208</v>
      </c>
      <c r="R1872" t="s">
        <v>1717</v>
      </c>
      <c r="S1872" t="s">
        <v>1632</v>
      </c>
      <c r="T1872" t="s">
        <v>1718</v>
      </c>
      <c r="U1872">
        <v>1216</v>
      </c>
      <c r="V1872" t="s">
        <v>1716</v>
      </c>
      <c r="W1872" t="s">
        <v>1719</v>
      </c>
      <c r="X1872" t="s">
        <v>1058</v>
      </c>
    </row>
    <row r="1873" spans="1:25">
      <c r="A1873">
        <v>13531</v>
      </c>
      <c r="B1873" t="s">
        <v>25</v>
      </c>
      <c r="C1873" t="str">
        <f t="shared" si="60"/>
        <v>INTEGRA Saloon</v>
      </c>
      <c r="D1873" t="str">
        <f t="shared" si="59"/>
        <v>1.6 i</v>
      </c>
      <c r="E1873" t="s">
        <v>26</v>
      </c>
      <c r="F1873">
        <v>198501</v>
      </c>
      <c r="G1873">
        <v>199012</v>
      </c>
      <c r="H1873">
        <v>88</v>
      </c>
      <c r="I1873">
        <v>120</v>
      </c>
      <c r="J1873">
        <v>1590</v>
      </c>
      <c r="K1873">
        <v>4805099</v>
      </c>
      <c r="L1873" t="s">
        <v>995</v>
      </c>
      <c r="M1873" t="str">
        <f>"WG1156393"</f>
        <v>WG1156393</v>
      </c>
      <c r="N1873" t="str">
        <f>"WG1156393"</f>
        <v>WG1156393</v>
      </c>
      <c r="O1873" t="str">
        <f>""</f>
        <v/>
      </c>
      <c r="P1873" t="s">
        <v>1716</v>
      </c>
      <c r="Q1873" t="str">
        <f>"8116000000208"</f>
        <v>8116000000208</v>
      </c>
      <c r="R1873" t="s">
        <v>1717</v>
      </c>
      <c r="S1873" t="s">
        <v>1632</v>
      </c>
      <c r="T1873" t="s">
        <v>1720</v>
      </c>
      <c r="U1873">
        <v>1216</v>
      </c>
      <c r="V1873" t="s">
        <v>1716</v>
      </c>
      <c r="W1873" t="s">
        <v>1719</v>
      </c>
      <c r="X1873" t="s">
        <v>1058</v>
      </c>
    </row>
    <row r="1874" spans="1:25">
      <c r="A1874">
        <v>13531</v>
      </c>
      <c r="B1874" t="s">
        <v>25</v>
      </c>
      <c r="C1874" t="str">
        <f t="shared" si="60"/>
        <v>INTEGRA Saloon</v>
      </c>
      <c r="D1874" t="str">
        <f t="shared" si="59"/>
        <v>1.6 i</v>
      </c>
      <c r="E1874" t="s">
        <v>26</v>
      </c>
      <c r="F1874">
        <v>198501</v>
      </c>
      <c r="G1874">
        <v>199012</v>
      </c>
      <c r="H1874">
        <v>88</v>
      </c>
      <c r="I1874">
        <v>120</v>
      </c>
      <c r="J1874">
        <v>1590</v>
      </c>
      <c r="K1874">
        <v>2594521</v>
      </c>
      <c r="L1874" t="s">
        <v>1453</v>
      </c>
      <c r="M1874" t="str">
        <f>"94052"</f>
        <v>94052</v>
      </c>
      <c r="N1874" t="str">
        <f>"9.4052"</f>
        <v>9.4052</v>
      </c>
      <c r="O1874" t="str">
        <f>"EPS 1.965.052"</f>
        <v>EPS 1.965.052</v>
      </c>
      <c r="P1874" t="s">
        <v>1596</v>
      </c>
      <c r="Q1874" t="str">
        <f>"8012510066508"</f>
        <v>8012510066508</v>
      </c>
      <c r="S1874" t="s">
        <v>1683</v>
      </c>
      <c r="T1874" s="1" t="s">
        <v>1597</v>
      </c>
      <c r="U1874">
        <v>1218</v>
      </c>
      <c r="V1874" t="s">
        <v>1596</v>
      </c>
      <c r="W1874" t="s">
        <v>1586</v>
      </c>
      <c r="X1874" t="s">
        <v>1025</v>
      </c>
    </row>
    <row r="1875" spans="1:25">
      <c r="A1875">
        <v>13531</v>
      </c>
      <c r="B1875" t="s">
        <v>25</v>
      </c>
      <c r="C1875" t="str">
        <f t="shared" si="60"/>
        <v>INTEGRA Saloon</v>
      </c>
      <c r="D1875" t="str">
        <f t="shared" si="59"/>
        <v>1.6 i</v>
      </c>
      <c r="E1875" t="s">
        <v>26</v>
      </c>
      <c r="F1875">
        <v>198501</v>
      </c>
      <c r="G1875">
        <v>199012</v>
      </c>
      <c r="H1875">
        <v>88</v>
      </c>
      <c r="I1875">
        <v>120</v>
      </c>
      <c r="J1875">
        <v>1590</v>
      </c>
      <c r="K1875">
        <v>2706968</v>
      </c>
      <c r="L1875" t="s">
        <v>1458</v>
      </c>
      <c r="M1875" t="str">
        <f>"V26700012"</f>
        <v>V26700012</v>
      </c>
      <c r="N1875" t="str">
        <f>"V26-70-0012"</f>
        <v>V26-70-0012</v>
      </c>
      <c r="O1875" t="str">
        <f>""</f>
        <v/>
      </c>
      <c r="P1875" t="s">
        <v>1596</v>
      </c>
      <c r="Q1875" t="str">
        <f>"4046001552496"</f>
        <v>4046001552496</v>
      </c>
      <c r="S1875" t="s">
        <v>1253</v>
      </c>
      <c r="T1875" s="1" t="s">
        <v>1598</v>
      </c>
      <c r="U1875">
        <v>1218</v>
      </c>
      <c r="V1875" t="s">
        <v>1596</v>
      </c>
      <c r="W1875" t="s">
        <v>1586</v>
      </c>
      <c r="X1875" t="s">
        <v>1025</v>
      </c>
    </row>
    <row r="1876" spans="1:25">
      <c r="A1876">
        <v>13531</v>
      </c>
      <c r="B1876" t="s">
        <v>25</v>
      </c>
      <c r="C1876" t="str">
        <f t="shared" si="60"/>
        <v>INTEGRA Saloon</v>
      </c>
      <c r="D1876" t="str">
        <f t="shared" si="59"/>
        <v>1.6 i</v>
      </c>
      <c r="E1876" t="s">
        <v>26</v>
      </c>
      <c r="F1876">
        <v>198501</v>
      </c>
      <c r="G1876">
        <v>199012</v>
      </c>
      <c r="H1876">
        <v>88</v>
      </c>
      <c r="I1876">
        <v>120</v>
      </c>
      <c r="J1876">
        <v>1590</v>
      </c>
      <c r="K1876">
        <v>3762668</v>
      </c>
      <c r="L1876" t="s">
        <v>1580</v>
      </c>
      <c r="M1876" t="str">
        <f>"130086"</f>
        <v>130086</v>
      </c>
      <c r="N1876" t="str">
        <f>"13-0086"</f>
        <v>13-0086</v>
      </c>
      <c r="O1876" t="str">
        <f>"MG-00012"</f>
        <v>MG-00012</v>
      </c>
      <c r="P1876" t="s">
        <v>1596</v>
      </c>
      <c r="Q1876" t="str">
        <f>""</f>
        <v/>
      </c>
      <c r="S1876" t="s">
        <v>1253</v>
      </c>
      <c r="U1876">
        <v>1218</v>
      </c>
      <c r="V1876" t="s">
        <v>1596</v>
      </c>
      <c r="W1876" t="s">
        <v>1586</v>
      </c>
      <c r="X1876" t="s">
        <v>1025</v>
      </c>
    </row>
    <row r="1877" spans="1:25">
      <c r="A1877">
        <v>13531</v>
      </c>
      <c r="B1877" t="s">
        <v>25</v>
      </c>
      <c r="C1877" t="str">
        <f t="shared" si="60"/>
        <v>INTEGRA Saloon</v>
      </c>
      <c r="D1877" t="str">
        <f t="shared" si="59"/>
        <v>1.6 i</v>
      </c>
      <c r="E1877" t="s">
        <v>26</v>
      </c>
      <c r="F1877">
        <v>198501</v>
      </c>
      <c r="G1877">
        <v>199012</v>
      </c>
      <c r="H1877">
        <v>88</v>
      </c>
      <c r="I1877">
        <v>120</v>
      </c>
      <c r="J1877">
        <v>1590</v>
      </c>
      <c r="K1877">
        <v>3964033</v>
      </c>
      <c r="L1877" t="s">
        <v>27</v>
      </c>
      <c r="M1877" t="str">
        <f>"H14406"</f>
        <v>H14406</v>
      </c>
      <c r="N1877" t="str">
        <f>"H144-06"</f>
        <v>H144-06</v>
      </c>
      <c r="O1877" t="str">
        <f>""</f>
        <v/>
      </c>
      <c r="P1877" t="s">
        <v>1596</v>
      </c>
      <c r="Q1877" t="str">
        <f>"8718993211489"</f>
        <v>8718993211489</v>
      </c>
      <c r="R1877" t="s">
        <v>1599</v>
      </c>
      <c r="T1877" s="1" t="s">
        <v>1600</v>
      </c>
      <c r="U1877">
        <v>1218</v>
      </c>
      <c r="V1877" t="s">
        <v>1596</v>
      </c>
      <c r="W1877" t="s">
        <v>1586</v>
      </c>
      <c r="X1877" t="s">
        <v>1025</v>
      </c>
    </row>
    <row r="1878" spans="1:25">
      <c r="A1878">
        <v>13531</v>
      </c>
      <c r="B1878" t="s">
        <v>25</v>
      </c>
      <c r="C1878" t="str">
        <f t="shared" si="60"/>
        <v>INTEGRA Saloon</v>
      </c>
      <c r="D1878" t="str">
        <f t="shared" si="59"/>
        <v>1.6 i</v>
      </c>
      <c r="E1878" t="s">
        <v>26</v>
      </c>
      <c r="F1878">
        <v>198501</v>
      </c>
      <c r="G1878">
        <v>199012</v>
      </c>
      <c r="H1878">
        <v>88</v>
      </c>
      <c r="I1878">
        <v>120</v>
      </c>
      <c r="J1878">
        <v>1590</v>
      </c>
      <c r="K1878">
        <v>4034502</v>
      </c>
      <c r="L1878" t="s">
        <v>1472</v>
      </c>
      <c r="M1878" t="str">
        <f>"138068"</f>
        <v>138068</v>
      </c>
      <c r="N1878" t="str">
        <f>"138068"</f>
        <v>138068</v>
      </c>
      <c r="O1878" t="str">
        <f>"138068"</f>
        <v>138068</v>
      </c>
      <c r="P1878" t="s">
        <v>1596</v>
      </c>
      <c r="Q1878" t="str">
        <f>""</f>
        <v/>
      </c>
      <c r="R1878" t="s">
        <v>1601</v>
      </c>
      <c r="T1878" s="1" t="s">
        <v>1602</v>
      </c>
      <c r="U1878">
        <v>1218</v>
      </c>
      <c r="V1878" t="s">
        <v>1596</v>
      </c>
      <c r="W1878" t="s">
        <v>1586</v>
      </c>
      <c r="X1878" t="s">
        <v>1025</v>
      </c>
    </row>
    <row r="1879" spans="1:25">
      <c r="A1879">
        <v>13531</v>
      </c>
      <c r="B1879" t="s">
        <v>25</v>
      </c>
      <c r="C1879" t="str">
        <f t="shared" si="60"/>
        <v>INTEGRA Saloon</v>
      </c>
      <c r="D1879" t="str">
        <f t="shared" si="59"/>
        <v>1.6 i</v>
      </c>
      <c r="E1879" t="s">
        <v>26</v>
      </c>
      <c r="F1879">
        <v>198501</v>
      </c>
      <c r="G1879">
        <v>199012</v>
      </c>
      <c r="H1879">
        <v>88</v>
      </c>
      <c r="I1879">
        <v>120</v>
      </c>
      <c r="J1879">
        <v>1590</v>
      </c>
      <c r="K1879">
        <v>4486676</v>
      </c>
      <c r="L1879" t="s">
        <v>1475</v>
      </c>
      <c r="M1879" t="str">
        <f>"ICM1004"</f>
        <v>ICM1004</v>
      </c>
      <c r="N1879" t="str">
        <f>"ICM1004"</f>
        <v>ICM1004</v>
      </c>
      <c r="O1879" t="str">
        <f>""</f>
        <v/>
      </c>
      <c r="P1879" t="s">
        <v>1596</v>
      </c>
      <c r="Q1879" t="str">
        <f>""</f>
        <v/>
      </c>
      <c r="T1879" t="s">
        <v>1603</v>
      </c>
      <c r="U1879">
        <v>1218</v>
      </c>
      <c r="V1879" t="s">
        <v>1596</v>
      </c>
      <c r="W1879" t="s">
        <v>1586</v>
      </c>
      <c r="X1879" t="s">
        <v>1025</v>
      </c>
    </row>
    <row r="1880" spans="1:25">
      <c r="A1880">
        <v>13531</v>
      </c>
      <c r="B1880" t="s">
        <v>25</v>
      </c>
      <c r="C1880" t="str">
        <f t="shared" si="60"/>
        <v>INTEGRA Saloon</v>
      </c>
      <c r="D1880" t="str">
        <f t="shared" si="59"/>
        <v>1.6 i</v>
      </c>
      <c r="E1880" t="s">
        <v>26</v>
      </c>
      <c r="F1880">
        <v>198501</v>
      </c>
      <c r="G1880">
        <v>199012</v>
      </c>
      <c r="H1880">
        <v>88</v>
      </c>
      <c r="I1880">
        <v>120</v>
      </c>
      <c r="J1880">
        <v>1590</v>
      </c>
      <c r="K1880">
        <v>2040106</v>
      </c>
      <c r="L1880" t="s">
        <v>518</v>
      </c>
      <c r="M1880" t="str">
        <f>"WP1730"</f>
        <v>WP1730</v>
      </c>
      <c r="N1880" t="str">
        <f>"WP1730"</f>
        <v>WP1730</v>
      </c>
      <c r="O1880" t="str">
        <f>""</f>
        <v/>
      </c>
      <c r="P1880" t="s">
        <v>1134</v>
      </c>
      <c r="Q1880" t="str">
        <f>"5012759124192"</f>
        <v>5012759124192</v>
      </c>
      <c r="T1880" t="s">
        <v>1604</v>
      </c>
      <c r="U1880">
        <v>1260</v>
      </c>
      <c r="V1880" t="s">
        <v>1134</v>
      </c>
      <c r="W1880" t="s">
        <v>944</v>
      </c>
      <c r="X1880" t="s">
        <v>626</v>
      </c>
      <c r="Y1880" t="s">
        <v>1138</v>
      </c>
    </row>
    <row r="1881" spans="1:25">
      <c r="A1881">
        <v>13531</v>
      </c>
      <c r="B1881" t="s">
        <v>25</v>
      </c>
      <c r="C1881" t="str">
        <f t="shared" si="60"/>
        <v>INTEGRA Saloon</v>
      </c>
      <c r="D1881" t="str">
        <f t="shared" si="59"/>
        <v>1.6 i</v>
      </c>
      <c r="E1881" t="s">
        <v>26</v>
      </c>
      <c r="F1881">
        <v>198501</v>
      </c>
      <c r="G1881">
        <v>199012</v>
      </c>
      <c r="H1881">
        <v>88</v>
      </c>
      <c r="I1881">
        <v>120</v>
      </c>
      <c r="J1881">
        <v>1590</v>
      </c>
      <c r="K1881">
        <v>2380912</v>
      </c>
      <c r="L1881" t="s">
        <v>144</v>
      </c>
      <c r="M1881" t="str">
        <f>"21521"</f>
        <v>21521</v>
      </c>
      <c r="N1881" t="str">
        <f>"21521"</f>
        <v>21521</v>
      </c>
      <c r="O1881" t="str">
        <f>""</f>
        <v/>
      </c>
      <c r="P1881" t="s">
        <v>1134</v>
      </c>
      <c r="Q1881" t="str">
        <f>"4043605452665"</f>
        <v>4043605452665</v>
      </c>
      <c r="R1881" t="s">
        <v>1721</v>
      </c>
      <c r="T1881" s="1" t="s">
        <v>1722</v>
      </c>
      <c r="U1881">
        <v>1260</v>
      </c>
      <c r="V1881" t="s">
        <v>1134</v>
      </c>
      <c r="W1881" t="s">
        <v>944</v>
      </c>
      <c r="X1881" t="s">
        <v>626</v>
      </c>
      <c r="Y1881" t="s">
        <v>1138</v>
      </c>
    </row>
    <row r="1882" spans="1:25">
      <c r="A1882">
        <v>13531</v>
      </c>
      <c r="B1882" t="s">
        <v>25</v>
      </c>
      <c r="C1882" t="str">
        <f t="shared" si="60"/>
        <v>INTEGRA Saloon</v>
      </c>
      <c r="D1882" t="str">
        <f t="shared" si="59"/>
        <v>1.6 i</v>
      </c>
      <c r="E1882" t="s">
        <v>26</v>
      </c>
      <c r="F1882">
        <v>198501</v>
      </c>
      <c r="G1882">
        <v>199012</v>
      </c>
      <c r="H1882">
        <v>88</v>
      </c>
      <c r="I1882">
        <v>120</v>
      </c>
      <c r="J1882">
        <v>1590</v>
      </c>
      <c r="K1882">
        <v>2691990</v>
      </c>
      <c r="L1882" t="s">
        <v>1723</v>
      </c>
      <c r="M1882" t="str">
        <f>"P046"</f>
        <v>P046</v>
      </c>
      <c r="N1882" t="str">
        <f>"P046"</f>
        <v>P046</v>
      </c>
      <c r="O1882" t="str">
        <f>""</f>
        <v/>
      </c>
      <c r="P1882" t="s">
        <v>1134</v>
      </c>
      <c r="Q1882" t="str">
        <f>"4250093400461"</f>
        <v>4250093400461</v>
      </c>
      <c r="R1882" t="s">
        <v>1724</v>
      </c>
      <c r="T1882" s="1" t="s">
        <v>1725</v>
      </c>
      <c r="U1882">
        <v>1260</v>
      </c>
      <c r="V1882" t="s">
        <v>1134</v>
      </c>
      <c r="W1882" t="s">
        <v>944</v>
      </c>
      <c r="X1882" t="s">
        <v>626</v>
      </c>
      <c r="Y1882" t="s">
        <v>1138</v>
      </c>
    </row>
    <row r="1883" spans="1:25">
      <c r="A1883">
        <v>13531</v>
      </c>
      <c r="B1883" t="s">
        <v>25</v>
      </c>
      <c r="C1883" t="str">
        <f t="shared" si="60"/>
        <v>INTEGRA Saloon</v>
      </c>
      <c r="D1883" t="str">
        <f t="shared" si="59"/>
        <v>1.6 i</v>
      </c>
      <c r="E1883" t="s">
        <v>26</v>
      </c>
      <c r="F1883">
        <v>198501</v>
      </c>
      <c r="G1883">
        <v>199012</v>
      </c>
      <c r="H1883">
        <v>88</v>
      </c>
      <c r="I1883">
        <v>120</v>
      </c>
      <c r="J1883">
        <v>1590</v>
      </c>
      <c r="K1883">
        <v>2697740</v>
      </c>
      <c r="L1883" t="s">
        <v>1726</v>
      </c>
      <c r="M1883" t="str">
        <f>"984046"</f>
        <v>984046</v>
      </c>
      <c r="N1883" t="str">
        <f>"984046"</f>
        <v>984046</v>
      </c>
      <c r="O1883" t="str">
        <f>""</f>
        <v/>
      </c>
      <c r="P1883" t="s">
        <v>1134</v>
      </c>
      <c r="Q1883" t="str">
        <f>"4250091440469"</f>
        <v>4250091440469</v>
      </c>
      <c r="R1883" t="s">
        <v>1727</v>
      </c>
      <c r="T1883" s="1" t="s">
        <v>1728</v>
      </c>
      <c r="U1883">
        <v>1260</v>
      </c>
      <c r="V1883" t="s">
        <v>1134</v>
      </c>
      <c r="W1883" t="s">
        <v>944</v>
      </c>
      <c r="X1883" t="s">
        <v>626</v>
      </c>
      <c r="Y1883" t="s">
        <v>1138</v>
      </c>
    </row>
    <row r="1884" spans="1:25">
      <c r="A1884">
        <v>13531</v>
      </c>
      <c r="B1884" t="s">
        <v>25</v>
      </c>
      <c r="C1884" t="str">
        <f t="shared" si="60"/>
        <v>INTEGRA Saloon</v>
      </c>
      <c r="D1884" t="str">
        <f t="shared" si="59"/>
        <v>1.6 i</v>
      </c>
      <c r="E1884" t="s">
        <v>26</v>
      </c>
      <c r="F1884">
        <v>198501</v>
      </c>
      <c r="G1884">
        <v>199012</v>
      </c>
      <c r="H1884">
        <v>88</v>
      </c>
      <c r="I1884">
        <v>120</v>
      </c>
      <c r="J1884">
        <v>1590</v>
      </c>
      <c r="K1884">
        <v>2908387</v>
      </c>
      <c r="L1884" t="s">
        <v>1605</v>
      </c>
      <c r="M1884" t="str">
        <f>"1368"</f>
        <v>1368</v>
      </c>
      <c r="N1884" t="str">
        <f>"1368"</f>
        <v>1368</v>
      </c>
      <c r="O1884" t="str">
        <f>""</f>
        <v/>
      </c>
      <c r="P1884" t="s">
        <v>1134</v>
      </c>
      <c r="Q1884" t="str">
        <f>"8435013802853"</f>
        <v>8435013802853</v>
      </c>
      <c r="R1884" t="s">
        <v>1606</v>
      </c>
      <c r="T1884" s="1" t="s">
        <v>1607</v>
      </c>
      <c r="U1884">
        <v>1260</v>
      </c>
      <c r="V1884" t="s">
        <v>1134</v>
      </c>
      <c r="W1884" t="s">
        <v>944</v>
      </c>
      <c r="X1884" t="s">
        <v>626</v>
      </c>
      <c r="Y1884" t="s">
        <v>1138</v>
      </c>
    </row>
    <row r="1885" spans="1:25">
      <c r="A1885">
        <v>13531</v>
      </c>
      <c r="B1885" t="s">
        <v>25</v>
      </c>
      <c r="C1885" t="str">
        <f t="shared" si="60"/>
        <v>INTEGRA Saloon</v>
      </c>
      <c r="D1885" t="str">
        <f t="shared" si="59"/>
        <v>1.6 i</v>
      </c>
      <c r="E1885" t="s">
        <v>26</v>
      </c>
      <c r="F1885">
        <v>198501</v>
      </c>
      <c r="G1885">
        <v>199012</v>
      </c>
      <c r="H1885">
        <v>88</v>
      </c>
      <c r="I1885">
        <v>120</v>
      </c>
      <c r="J1885">
        <v>1590</v>
      </c>
      <c r="K1885">
        <v>2965638</v>
      </c>
      <c r="L1885" t="s">
        <v>1608</v>
      </c>
      <c r="M1885" t="str">
        <f>"FWP70531"</f>
        <v>FWP70531</v>
      </c>
      <c r="N1885" t="str">
        <f>"FWP70531"</f>
        <v>FWP70531</v>
      </c>
      <c r="O1885" t="str">
        <f>""</f>
        <v/>
      </c>
      <c r="P1885" t="s">
        <v>1134</v>
      </c>
      <c r="Q1885" t="str">
        <f>"4030434231455"</f>
        <v>4030434231455</v>
      </c>
      <c r="R1885" t="s">
        <v>1609</v>
      </c>
      <c r="T1885" s="1" t="s">
        <v>1729</v>
      </c>
      <c r="U1885">
        <v>1260</v>
      </c>
      <c r="V1885" t="s">
        <v>1134</v>
      </c>
      <c r="W1885" t="s">
        <v>944</v>
      </c>
      <c r="X1885" t="s">
        <v>626</v>
      </c>
      <c r="Y1885" t="s">
        <v>1138</v>
      </c>
    </row>
    <row r="1886" spans="1:25">
      <c r="A1886">
        <v>13531</v>
      </c>
      <c r="B1886" t="s">
        <v>25</v>
      </c>
      <c r="C1886" t="str">
        <f t="shared" si="60"/>
        <v>INTEGRA Saloon</v>
      </c>
      <c r="D1886" t="str">
        <f t="shared" si="59"/>
        <v>1.6 i</v>
      </c>
      <c r="E1886" t="s">
        <v>26</v>
      </c>
      <c r="F1886">
        <v>198501</v>
      </c>
      <c r="G1886">
        <v>199012</v>
      </c>
      <c r="H1886">
        <v>88</v>
      </c>
      <c r="I1886">
        <v>120</v>
      </c>
      <c r="J1886">
        <v>1590</v>
      </c>
      <c r="K1886">
        <v>3027438</v>
      </c>
      <c r="L1886" t="s">
        <v>33</v>
      </c>
      <c r="M1886" t="str">
        <f>"J1514019"</f>
        <v>J1514019</v>
      </c>
      <c r="N1886" t="str">
        <f>"J1514019"</f>
        <v>J1514019</v>
      </c>
      <c r="O1886" t="str">
        <f>""</f>
        <v/>
      </c>
      <c r="P1886" t="s">
        <v>1134</v>
      </c>
      <c r="Q1886" t="str">
        <f>"8711768038038"</f>
        <v>8711768038038</v>
      </c>
      <c r="R1886" t="s">
        <v>1611</v>
      </c>
      <c r="T1886" s="1" t="s">
        <v>1612</v>
      </c>
      <c r="U1886">
        <v>1260</v>
      </c>
      <c r="V1886" t="s">
        <v>1134</v>
      </c>
      <c r="W1886" t="s">
        <v>944</v>
      </c>
      <c r="X1886" t="s">
        <v>626</v>
      </c>
      <c r="Y1886" t="s">
        <v>1138</v>
      </c>
    </row>
    <row r="1887" spans="1:25">
      <c r="A1887">
        <v>13531</v>
      </c>
      <c r="B1887" t="s">
        <v>25</v>
      </c>
      <c r="C1887" t="str">
        <f t="shared" si="60"/>
        <v>INTEGRA Saloon</v>
      </c>
      <c r="D1887" t="str">
        <f t="shared" si="59"/>
        <v>1.6 i</v>
      </c>
      <c r="E1887" t="s">
        <v>26</v>
      </c>
      <c r="F1887">
        <v>198501</v>
      </c>
      <c r="G1887">
        <v>199012</v>
      </c>
      <c r="H1887">
        <v>88</v>
      </c>
      <c r="I1887">
        <v>120</v>
      </c>
      <c r="J1887">
        <v>1590</v>
      </c>
      <c r="K1887">
        <v>3963958</v>
      </c>
      <c r="L1887" t="s">
        <v>27</v>
      </c>
      <c r="M1887" t="str">
        <f>"H10808"</f>
        <v>H10808</v>
      </c>
      <c r="N1887" t="str">
        <f>"H108-08"</f>
        <v>H108-08</v>
      </c>
      <c r="O1887" t="str">
        <f>""</f>
        <v/>
      </c>
      <c r="P1887" t="s">
        <v>1134</v>
      </c>
      <c r="Q1887" t="str">
        <f>"8718993210307"</f>
        <v>8718993210307</v>
      </c>
      <c r="R1887" t="s">
        <v>1613</v>
      </c>
      <c r="T1887" s="1" t="s">
        <v>1614</v>
      </c>
      <c r="U1887">
        <v>1260</v>
      </c>
      <c r="V1887" t="s">
        <v>1134</v>
      </c>
      <c r="W1887" t="s">
        <v>944</v>
      </c>
      <c r="X1887" t="s">
        <v>626</v>
      </c>
      <c r="Y1887" t="s">
        <v>1138</v>
      </c>
    </row>
    <row r="1888" spans="1:25">
      <c r="A1888">
        <v>13531</v>
      </c>
      <c r="B1888" t="s">
        <v>25</v>
      </c>
      <c r="C1888" t="str">
        <f t="shared" si="60"/>
        <v>INTEGRA Saloon</v>
      </c>
      <c r="D1888" t="str">
        <f t="shared" si="59"/>
        <v>1.6 i</v>
      </c>
      <c r="E1888" t="s">
        <v>26</v>
      </c>
      <c r="F1888">
        <v>198501</v>
      </c>
      <c r="G1888">
        <v>199012</v>
      </c>
      <c r="H1888">
        <v>88</v>
      </c>
      <c r="I1888">
        <v>120</v>
      </c>
      <c r="J1888">
        <v>1590</v>
      </c>
      <c r="K1888">
        <v>4127787</v>
      </c>
      <c r="L1888" t="s">
        <v>1291</v>
      </c>
      <c r="M1888" t="str">
        <f>"CP5480T"</f>
        <v>CP5480T</v>
      </c>
      <c r="N1888" t="str">
        <f>"CP5480T"</f>
        <v>CP5480T</v>
      </c>
      <c r="O1888" t="str">
        <f>""</f>
        <v/>
      </c>
      <c r="P1888" t="s">
        <v>1134</v>
      </c>
      <c r="Q1888" t="str">
        <f>""</f>
        <v/>
      </c>
      <c r="T1888" s="1" t="s">
        <v>1730</v>
      </c>
      <c r="U1888">
        <v>1260</v>
      </c>
      <c r="V1888" t="s">
        <v>1134</v>
      </c>
      <c r="W1888" t="s">
        <v>944</v>
      </c>
      <c r="X1888" t="s">
        <v>626</v>
      </c>
      <c r="Y1888" t="s">
        <v>1138</v>
      </c>
    </row>
    <row r="1889" spans="1:25">
      <c r="A1889">
        <v>13531</v>
      </c>
      <c r="B1889" t="s">
        <v>25</v>
      </c>
      <c r="C1889" t="str">
        <f t="shared" si="60"/>
        <v>INTEGRA Saloon</v>
      </c>
      <c r="D1889" t="str">
        <f t="shared" si="59"/>
        <v>1.6 i</v>
      </c>
      <c r="E1889" t="s">
        <v>26</v>
      </c>
      <c r="F1889">
        <v>198501</v>
      </c>
      <c r="G1889">
        <v>199012</v>
      </c>
      <c r="H1889">
        <v>88</v>
      </c>
      <c r="I1889">
        <v>120</v>
      </c>
      <c r="J1889">
        <v>1590</v>
      </c>
      <c r="K1889">
        <v>4233321</v>
      </c>
      <c r="L1889" t="s">
        <v>958</v>
      </c>
      <c r="M1889" t="str">
        <f>"D14019TT"</f>
        <v>D14019TT</v>
      </c>
      <c r="N1889" t="str">
        <f>"D14019TT"</f>
        <v>D14019TT</v>
      </c>
      <c r="O1889" t="str">
        <f>""</f>
        <v/>
      </c>
      <c r="P1889" t="s">
        <v>1134</v>
      </c>
      <c r="Q1889" t="str">
        <f>""</f>
        <v/>
      </c>
      <c r="R1889" t="s">
        <v>1550</v>
      </c>
      <c r="T1889" s="1" t="s">
        <v>1731</v>
      </c>
      <c r="U1889">
        <v>1260</v>
      </c>
      <c r="V1889" t="s">
        <v>1134</v>
      </c>
      <c r="W1889" t="s">
        <v>944</v>
      </c>
      <c r="X1889" t="s">
        <v>626</v>
      </c>
      <c r="Y1889" t="s">
        <v>1138</v>
      </c>
    </row>
    <row r="1890" spans="1:25">
      <c r="A1890">
        <v>13531</v>
      </c>
      <c r="B1890" t="s">
        <v>25</v>
      </c>
      <c r="C1890" t="str">
        <f t="shared" si="60"/>
        <v>INTEGRA Saloon</v>
      </c>
      <c r="D1890" t="str">
        <f t="shared" si="59"/>
        <v>1.6 i</v>
      </c>
      <c r="E1890" t="s">
        <v>26</v>
      </c>
      <c r="F1890">
        <v>198501</v>
      </c>
      <c r="G1890">
        <v>199012</v>
      </c>
      <c r="H1890">
        <v>88</v>
      </c>
      <c r="I1890">
        <v>120</v>
      </c>
      <c r="J1890">
        <v>1590</v>
      </c>
      <c r="K1890">
        <v>4385236</v>
      </c>
      <c r="L1890" t="s">
        <v>507</v>
      </c>
      <c r="M1890" t="str">
        <f>"45210008SX"</f>
        <v>45210008SX</v>
      </c>
      <c r="N1890" t="str">
        <f>"4521-0008-SX"</f>
        <v>4521-0008-SX</v>
      </c>
      <c r="O1890" t="str">
        <f>""</f>
        <v/>
      </c>
      <c r="P1890" t="s">
        <v>1134</v>
      </c>
      <c r="Q1890" t="str">
        <f>""</f>
        <v/>
      </c>
      <c r="R1890" t="s">
        <v>1732</v>
      </c>
      <c r="T1890" s="1" t="s">
        <v>1733</v>
      </c>
      <c r="U1890">
        <v>1260</v>
      </c>
      <c r="V1890" t="s">
        <v>1134</v>
      </c>
      <c r="W1890" t="s">
        <v>944</v>
      </c>
      <c r="X1890" t="s">
        <v>626</v>
      </c>
      <c r="Y1890" t="s">
        <v>1138</v>
      </c>
    </row>
    <row r="1891" spans="1:25">
      <c r="A1891">
        <v>13531</v>
      </c>
      <c r="B1891" t="s">
        <v>25</v>
      </c>
      <c r="C1891" t="str">
        <f t="shared" si="60"/>
        <v>INTEGRA Saloon</v>
      </c>
      <c r="D1891" t="str">
        <f t="shared" si="59"/>
        <v>1.6 i</v>
      </c>
      <c r="E1891" t="s">
        <v>26</v>
      </c>
      <c r="F1891">
        <v>198501</v>
      </c>
      <c r="G1891">
        <v>199012</v>
      </c>
      <c r="H1891">
        <v>88</v>
      </c>
      <c r="I1891">
        <v>120</v>
      </c>
      <c r="J1891">
        <v>1590</v>
      </c>
      <c r="K1891">
        <v>4869221</v>
      </c>
      <c r="L1891" t="s">
        <v>995</v>
      </c>
      <c r="M1891" t="str">
        <f>"WG1236780"</f>
        <v>WG1236780</v>
      </c>
      <c r="N1891" t="str">
        <f>"WG1236780"</f>
        <v>WG1236780</v>
      </c>
      <c r="O1891" t="str">
        <f>""</f>
        <v/>
      </c>
      <c r="P1891" t="s">
        <v>1134</v>
      </c>
      <c r="Q1891" t="str">
        <f>"4250093400461"</f>
        <v>4250093400461</v>
      </c>
      <c r="R1891" t="s">
        <v>1734</v>
      </c>
      <c r="T1891" s="1" t="s">
        <v>1735</v>
      </c>
      <c r="U1891">
        <v>1260</v>
      </c>
      <c r="V1891" t="s">
        <v>1134</v>
      </c>
      <c r="W1891" t="s">
        <v>944</v>
      </c>
      <c r="X1891" t="s">
        <v>626</v>
      </c>
      <c r="Y1891" t="s">
        <v>1138</v>
      </c>
    </row>
    <row r="1892" spans="1:25">
      <c r="A1892">
        <v>13531</v>
      </c>
      <c r="B1892" t="s">
        <v>25</v>
      </c>
      <c r="C1892" t="str">
        <f t="shared" si="60"/>
        <v>INTEGRA Saloon</v>
      </c>
      <c r="D1892" t="str">
        <f t="shared" si="59"/>
        <v>1.6 i</v>
      </c>
      <c r="E1892" t="s">
        <v>26</v>
      </c>
      <c r="F1892">
        <v>198501</v>
      </c>
      <c r="G1892">
        <v>199012</v>
      </c>
      <c r="H1892">
        <v>88</v>
      </c>
      <c r="I1892">
        <v>120</v>
      </c>
      <c r="J1892">
        <v>1590</v>
      </c>
      <c r="K1892">
        <v>2956539</v>
      </c>
      <c r="L1892" t="s">
        <v>1715</v>
      </c>
      <c r="M1892" t="str">
        <f>"R4900SNT"</f>
        <v>R4900SNT</v>
      </c>
      <c r="N1892" t="str">
        <f>"R4900/SNT"</f>
        <v>R4900/SNT</v>
      </c>
      <c r="O1892" t="str">
        <f>""</f>
        <v/>
      </c>
      <c r="P1892" t="s">
        <v>1736</v>
      </c>
      <c r="Q1892" t="str">
        <f>"8112000012234"</f>
        <v>8112000012234</v>
      </c>
      <c r="R1892" t="s">
        <v>1737</v>
      </c>
      <c r="S1892" t="s">
        <v>1632</v>
      </c>
      <c r="T1892" t="s">
        <v>1738</v>
      </c>
      <c r="U1892">
        <v>1269</v>
      </c>
      <c r="V1892" t="s">
        <v>1736</v>
      </c>
      <c r="W1892" t="s">
        <v>1739</v>
      </c>
      <c r="X1892" t="s">
        <v>1058</v>
      </c>
      <c r="Y1892" t="s">
        <v>1740</v>
      </c>
    </row>
    <row r="1893" spans="1:25">
      <c r="A1893">
        <v>13531</v>
      </c>
      <c r="B1893" t="s">
        <v>25</v>
      </c>
      <c r="C1893" t="str">
        <f t="shared" si="60"/>
        <v>INTEGRA Saloon</v>
      </c>
      <c r="D1893" t="str">
        <f t="shared" si="59"/>
        <v>1.6 i</v>
      </c>
      <c r="E1893" t="s">
        <v>26</v>
      </c>
      <c r="F1893">
        <v>198501</v>
      </c>
      <c r="G1893">
        <v>199012</v>
      </c>
      <c r="H1893">
        <v>88</v>
      </c>
      <c r="I1893">
        <v>120</v>
      </c>
      <c r="J1893">
        <v>1590</v>
      </c>
      <c r="K1893">
        <v>2956550</v>
      </c>
      <c r="L1893" t="s">
        <v>1715</v>
      </c>
      <c r="M1893" t="str">
        <f>"R4912SNT"</f>
        <v>R4912SNT</v>
      </c>
      <c r="N1893" t="str">
        <f>"R4912/SNT"</f>
        <v>R4912/SNT</v>
      </c>
      <c r="O1893" t="str">
        <f>""</f>
        <v/>
      </c>
      <c r="P1893" t="s">
        <v>1736</v>
      </c>
      <c r="Q1893" t="str">
        <f>"8112000012340"</f>
        <v>8112000012340</v>
      </c>
      <c r="R1893" t="s">
        <v>1741</v>
      </c>
      <c r="S1893" t="s">
        <v>1632</v>
      </c>
      <c r="T1893" t="s">
        <v>1742</v>
      </c>
      <c r="U1893">
        <v>1269</v>
      </c>
      <c r="V1893" t="s">
        <v>1736</v>
      </c>
      <c r="W1893" t="s">
        <v>1739</v>
      </c>
      <c r="X1893" t="s">
        <v>1058</v>
      </c>
      <c r="Y1893" t="s">
        <v>1740</v>
      </c>
    </row>
    <row r="1894" spans="1:25">
      <c r="A1894">
        <v>13531</v>
      </c>
      <c r="B1894" t="s">
        <v>25</v>
      </c>
      <c r="C1894" t="str">
        <f t="shared" si="60"/>
        <v>INTEGRA Saloon</v>
      </c>
      <c r="D1894" t="str">
        <f t="shared" si="59"/>
        <v>1.6 i</v>
      </c>
      <c r="E1894" t="s">
        <v>26</v>
      </c>
      <c r="F1894">
        <v>198501</v>
      </c>
      <c r="G1894">
        <v>199012</v>
      </c>
      <c r="H1894">
        <v>88</v>
      </c>
      <c r="I1894">
        <v>120</v>
      </c>
      <c r="J1894">
        <v>1590</v>
      </c>
      <c r="K1894">
        <v>4806402</v>
      </c>
      <c r="L1894" t="s">
        <v>995</v>
      </c>
      <c r="M1894" t="str">
        <f>"WG1157696"</f>
        <v>WG1157696</v>
      </c>
      <c r="N1894" t="str">
        <f>"WG1157696"</f>
        <v>WG1157696</v>
      </c>
      <c r="O1894" t="str">
        <f>""</f>
        <v/>
      </c>
      <c r="P1894" t="s">
        <v>1736</v>
      </c>
      <c r="Q1894" t="str">
        <f>"8112000012234"</f>
        <v>8112000012234</v>
      </c>
      <c r="R1894" t="s">
        <v>1737</v>
      </c>
      <c r="S1894" t="s">
        <v>1632</v>
      </c>
      <c r="T1894" t="s">
        <v>1738</v>
      </c>
      <c r="U1894">
        <v>1269</v>
      </c>
      <c r="V1894" t="s">
        <v>1736</v>
      </c>
      <c r="W1894" t="s">
        <v>1739</v>
      </c>
      <c r="X1894" t="s">
        <v>1058</v>
      </c>
      <c r="Y1894" t="s">
        <v>1740</v>
      </c>
    </row>
    <row r="1895" spans="1:25">
      <c r="A1895">
        <v>13531</v>
      </c>
      <c r="B1895" t="s">
        <v>25</v>
      </c>
      <c r="C1895" t="str">
        <f t="shared" si="60"/>
        <v>INTEGRA Saloon</v>
      </c>
      <c r="D1895" t="str">
        <f t="shared" si="59"/>
        <v>1.6 i</v>
      </c>
      <c r="E1895" t="s">
        <v>26</v>
      </c>
      <c r="F1895">
        <v>198501</v>
      </c>
      <c r="G1895">
        <v>199012</v>
      </c>
      <c r="H1895">
        <v>88</v>
      </c>
      <c r="I1895">
        <v>120</v>
      </c>
      <c r="J1895">
        <v>1590</v>
      </c>
      <c r="K1895">
        <v>4806411</v>
      </c>
      <c r="L1895" t="s">
        <v>995</v>
      </c>
      <c r="M1895" t="str">
        <f>"WG1157705"</f>
        <v>WG1157705</v>
      </c>
      <c r="N1895" t="str">
        <f>"WG1157705"</f>
        <v>WG1157705</v>
      </c>
      <c r="O1895" t="str">
        <f>""</f>
        <v/>
      </c>
      <c r="P1895" t="s">
        <v>1736</v>
      </c>
      <c r="Q1895" t="str">
        <f>"8112000012340"</f>
        <v>8112000012340</v>
      </c>
      <c r="R1895" t="s">
        <v>1741</v>
      </c>
      <c r="S1895" t="s">
        <v>1632</v>
      </c>
      <c r="T1895" t="s">
        <v>1742</v>
      </c>
      <c r="U1895">
        <v>1269</v>
      </c>
      <c r="V1895" t="s">
        <v>1736</v>
      </c>
      <c r="W1895" t="s">
        <v>1739</v>
      </c>
      <c r="X1895" t="s">
        <v>1058</v>
      </c>
      <c r="Y1895" t="s">
        <v>1740</v>
      </c>
    </row>
    <row r="1896" spans="1:25">
      <c r="A1896">
        <v>13531</v>
      </c>
      <c r="B1896" t="s">
        <v>25</v>
      </c>
      <c r="C1896" t="str">
        <f t="shared" si="60"/>
        <v>INTEGRA Saloon</v>
      </c>
      <c r="D1896" t="str">
        <f t="shared" si="59"/>
        <v>1.6 i</v>
      </c>
      <c r="E1896" t="s">
        <v>26</v>
      </c>
      <c r="F1896">
        <v>198501</v>
      </c>
      <c r="G1896">
        <v>199012</v>
      </c>
      <c r="H1896">
        <v>88</v>
      </c>
      <c r="I1896">
        <v>120</v>
      </c>
      <c r="J1896">
        <v>1590</v>
      </c>
      <c r="K1896">
        <v>2956540</v>
      </c>
      <c r="L1896" t="s">
        <v>1715</v>
      </c>
      <c r="M1896" t="str">
        <f>"R4901RNT"</f>
        <v>R4901RNT</v>
      </c>
      <c r="N1896" t="str">
        <f>"R4901/RNT"</f>
        <v>R4901/RNT</v>
      </c>
      <c r="O1896" t="str">
        <f>""</f>
        <v/>
      </c>
      <c r="P1896" t="s">
        <v>1743</v>
      </c>
      <c r="Q1896" t="str">
        <f>"8112000012241"</f>
        <v>8112000012241</v>
      </c>
      <c r="R1896" t="s">
        <v>1744</v>
      </c>
      <c r="S1896" t="s">
        <v>1632</v>
      </c>
      <c r="T1896" t="s">
        <v>1745</v>
      </c>
      <c r="U1896">
        <v>1270</v>
      </c>
      <c r="V1896" t="s">
        <v>1743</v>
      </c>
      <c r="W1896" t="s">
        <v>1739</v>
      </c>
      <c r="X1896" t="s">
        <v>1058</v>
      </c>
      <c r="Y1896" t="s">
        <v>1746</v>
      </c>
    </row>
    <row r="1897" spans="1:25">
      <c r="A1897">
        <v>13531</v>
      </c>
      <c r="B1897" t="s">
        <v>25</v>
      </c>
      <c r="C1897" t="str">
        <f t="shared" si="60"/>
        <v>INTEGRA Saloon</v>
      </c>
      <c r="D1897" t="str">
        <f t="shared" si="59"/>
        <v>1.6 i</v>
      </c>
      <c r="E1897" t="s">
        <v>26</v>
      </c>
      <c r="F1897">
        <v>198501</v>
      </c>
      <c r="G1897">
        <v>199012</v>
      </c>
      <c r="H1897">
        <v>88</v>
      </c>
      <c r="I1897">
        <v>120</v>
      </c>
      <c r="J1897">
        <v>1590</v>
      </c>
      <c r="K1897">
        <v>2956551</v>
      </c>
      <c r="L1897" t="s">
        <v>1715</v>
      </c>
      <c r="M1897" t="str">
        <f>"R4913RNT"</f>
        <v>R4913RNT</v>
      </c>
      <c r="N1897" t="str">
        <f>"R4913/RNT"</f>
        <v>R4913/RNT</v>
      </c>
      <c r="O1897" t="str">
        <f>""</f>
        <v/>
      </c>
      <c r="P1897" t="s">
        <v>1743</v>
      </c>
      <c r="Q1897" t="str">
        <f>"8112000012357"</f>
        <v>8112000012357</v>
      </c>
      <c r="R1897" t="s">
        <v>1747</v>
      </c>
      <c r="S1897" t="s">
        <v>1632</v>
      </c>
      <c r="T1897" t="s">
        <v>1748</v>
      </c>
      <c r="U1897">
        <v>1270</v>
      </c>
      <c r="V1897" t="s">
        <v>1743</v>
      </c>
      <c r="W1897" t="s">
        <v>1739</v>
      </c>
      <c r="X1897" t="s">
        <v>1058</v>
      </c>
      <c r="Y1897" t="s">
        <v>1746</v>
      </c>
    </row>
    <row r="1898" spans="1:25">
      <c r="A1898">
        <v>13531</v>
      </c>
      <c r="B1898" t="s">
        <v>25</v>
      </c>
      <c r="C1898" t="str">
        <f t="shared" si="60"/>
        <v>INTEGRA Saloon</v>
      </c>
      <c r="D1898" t="str">
        <f t="shared" si="59"/>
        <v>1.6 i</v>
      </c>
      <c r="E1898" t="s">
        <v>26</v>
      </c>
      <c r="F1898">
        <v>198501</v>
      </c>
      <c r="G1898">
        <v>199012</v>
      </c>
      <c r="H1898">
        <v>88</v>
      </c>
      <c r="I1898">
        <v>120</v>
      </c>
      <c r="J1898">
        <v>1590</v>
      </c>
      <c r="K1898">
        <v>4806403</v>
      </c>
      <c r="L1898" t="s">
        <v>995</v>
      </c>
      <c r="M1898" t="str">
        <f>"WG1157697"</f>
        <v>WG1157697</v>
      </c>
      <c r="N1898" t="str">
        <f>"WG1157697"</f>
        <v>WG1157697</v>
      </c>
      <c r="O1898" t="str">
        <f>""</f>
        <v/>
      </c>
      <c r="P1898" t="s">
        <v>1743</v>
      </c>
      <c r="Q1898" t="str">
        <f>"8112000012241"</f>
        <v>8112000012241</v>
      </c>
      <c r="R1898" t="s">
        <v>1744</v>
      </c>
      <c r="S1898" t="s">
        <v>1632</v>
      </c>
      <c r="T1898" t="s">
        <v>1745</v>
      </c>
      <c r="U1898">
        <v>1270</v>
      </c>
      <c r="V1898" t="s">
        <v>1743</v>
      </c>
      <c r="W1898" t="s">
        <v>1739</v>
      </c>
      <c r="X1898" t="s">
        <v>1058</v>
      </c>
      <c r="Y1898" t="s">
        <v>1746</v>
      </c>
    </row>
    <row r="1899" spans="1:25">
      <c r="A1899">
        <v>13531</v>
      </c>
      <c r="B1899" t="s">
        <v>25</v>
      </c>
      <c r="C1899" t="str">
        <f t="shared" si="60"/>
        <v>INTEGRA Saloon</v>
      </c>
      <c r="D1899" t="str">
        <f t="shared" si="59"/>
        <v>1.6 i</v>
      </c>
      <c r="E1899" t="s">
        <v>26</v>
      </c>
      <c r="F1899">
        <v>198501</v>
      </c>
      <c r="G1899">
        <v>199012</v>
      </c>
      <c r="H1899">
        <v>88</v>
      </c>
      <c r="I1899">
        <v>120</v>
      </c>
      <c r="J1899">
        <v>1590</v>
      </c>
      <c r="K1899">
        <v>4806412</v>
      </c>
      <c r="L1899" t="s">
        <v>995</v>
      </c>
      <c r="M1899" t="str">
        <f>"WG1157706"</f>
        <v>WG1157706</v>
      </c>
      <c r="N1899" t="str">
        <f>"WG1157706"</f>
        <v>WG1157706</v>
      </c>
      <c r="O1899" t="str">
        <f>""</f>
        <v/>
      </c>
      <c r="P1899" t="s">
        <v>1743</v>
      </c>
      <c r="Q1899" t="str">
        <f>"8112000012357"</f>
        <v>8112000012357</v>
      </c>
      <c r="R1899" t="s">
        <v>1747</v>
      </c>
      <c r="S1899" t="s">
        <v>1632</v>
      </c>
      <c r="T1899" t="s">
        <v>1748</v>
      </c>
      <c r="U1899">
        <v>1270</v>
      </c>
      <c r="V1899" t="s">
        <v>1743</v>
      </c>
      <c r="W1899" t="s">
        <v>1739</v>
      </c>
      <c r="X1899" t="s">
        <v>1058</v>
      </c>
      <c r="Y1899" t="s">
        <v>1746</v>
      </c>
    </row>
    <row r="1900" spans="1:25">
      <c r="A1900">
        <v>13531</v>
      </c>
      <c r="B1900" t="s">
        <v>25</v>
      </c>
      <c r="C1900" t="str">
        <f t="shared" si="60"/>
        <v>INTEGRA Saloon</v>
      </c>
      <c r="D1900" t="str">
        <f t="shared" si="59"/>
        <v>1.6 i</v>
      </c>
      <c r="E1900" t="s">
        <v>26</v>
      </c>
      <c r="F1900">
        <v>198501</v>
      </c>
      <c r="G1900">
        <v>199012</v>
      </c>
      <c r="H1900">
        <v>88</v>
      </c>
      <c r="I1900">
        <v>120</v>
      </c>
      <c r="J1900">
        <v>1590</v>
      </c>
      <c r="K1900">
        <v>1096825</v>
      </c>
      <c r="L1900" t="s">
        <v>318</v>
      </c>
      <c r="M1900" t="str">
        <f>"03013790972"</f>
        <v>03013790972</v>
      </c>
      <c r="N1900" t="str">
        <f>"03.0137-9097.2"</f>
        <v>03.0137-9097.2</v>
      </c>
      <c r="O1900" t="str">
        <f>"669097"</f>
        <v>669097</v>
      </c>
      <c r="P1900" t="s">
        <v>1141</v>
      </c>
      <c r="Q1900" t="str">
        <f>"4006633119627"</f>
        <v>4006633119627</v>
      </c>
      <c r="S1900" t="s">
        <v>1142</v>
      </c>
      <c r="T1900" t="s">
        <v>1143</v>
      </c>
      <c r="U1900">
        <v>1502</v>
      </c>
      <c r="V1900" t="s">
        <v>1141</v>
      </c>
      <c r="W1900" t="s">
        <v>1130</v>
      </c>
      <c r="X1900" t="s">
        <v>224</v>
      </c>
      <c r="Y1900" t="s">
        <v>1144</v>
      </c>
    </row>
    <row r="1901" spans="1:25">
      <c r="A1901">
        <v>13531</v>
      </c>
      <c r="B1901" t="s">
        <v>25</v>
      </c>
      <c r="C1901" t="str">
        <f t="shared" si="60"/>
        <v>INTEGRA Saloon</v>
      </c>
      <c r="D1901" t="str">
        <f t="shared" si="59"/>
        <v>1.6 i</v>
      </c>
      <c r="E1901" t="s">
        <v>26</v>
      </c>
      <c r="F1901">
        <v>198501</v>
      </c>
      <c r="G1901">
        <v>199012</v>
      </c>
      <c r="H1901">
        <v>88</v>
      </c>
      <c r="I1901">
        <v>120</v>
      </c>
      <c r="J1901">
        <v>1590</v>
      </c>
      <c r="K1901">
        <v>138024</v>
      </c>
      <c r="L1901" t="s">
        <v>1093</v>
      </c>
      <c r="M1901" t="str">
        <f>"AK216"</f>
        <v>AK216</v>
      </c>
      <c r="N1901" t="str">
        <f>"AK216"</f>
        <v>AK216</v>
      </c>
      <c r="O1901" t="str">
        <f>""</f>
        <v/>
      </c>
      <c r="P1901" t="s">
        <v>1145</v>
      </c>
      <c r="Q1901" t="str">
        <f>"5412096000362"</f>
        <v>5412096000362</v>
      </c>
      <c r="S1901" t="s">
        <v>310</v>
      </c>
      <c r="U1901">
        <v>1593</v>
      </c>
      <c r="V1901" t="s">
        <v>1145</v>
      </c>
      <c r="W1901" t="s">
        <v>1147</v>
      </c>
      <c r="X1901" t="s">
        <v>1085</v>
      </c>
      <c r="Y1901" t="s">
        <v>1148</v>
      </c>
    </row>
    <row r="1902" spans="1:25">
      <c r="A1902">
        <v>13531</v>
      </c>
      <c r="B1902" t="s">
        <v>25</v>
      </c>
      <c r="C1902" t="str">
        <f t="shared" si="60"/>
        <v>INTEGRA Saloon</v>
      </c>
      <c r="D1902" t="str">
        <f t="shared" si="59"/>
        <v>1.6 i</v>
      </c>
      <c r="E1902" t="s">
        <v>26</v>
      </c>
      <c r="F1902">
        <v>198501</v>
      </c>
      <c r="G1902">
        <v>199012</v>
      </c>
      <c r="H1902">
        <v>88</v>
      </c>
      <c r="I1902">
        <v>120</v>
      </c>
      <c r="J1902">
        <v>1590</v>
      </c>
      <c r="K1902">
        <v>2953860</v>
      </c>
      <c r="L1902" t="s">
        <v>1715</v>
      </c>
      <c r="M1902" t="str">
        <f>"G11092"</f>
        <v>G11092</v>
      </c>
      <c r="N1902" t="str">
        <f>"G11092"</f>
        <v>G11092</v>
      </c>
      <c r="O1902" t="str">
        <f>""</f>
        <v/>
      </c>
      <c r="P1902" t="s">
        <v>1749</v>
      </c>
      <c r="Q1902" t="str">
        <f>"8113000010244"</f>
        <v>8113000010244</v>
      </c>
      <c r="R1902" t="s">
        <v>1750</v>
      </c>
      <c r="S1902" t="s">
        <v>1632</v>
      </c>
      <c r="T1902" t="s">
        <v>1751</v>
      </c>
      <c r="U1902">
        <v>1644</v>
      </c>
      <c r="V1902" t="s">
        <v>1749</v>
      </c>
      <c r="W1902" t="s">
        <v>1752</v>
      </c>
      <c r="X1902" t="s">
        <v>641</v>
      </c>
      <c r="Y1902" t="s">
        <v>1749</v>
      </c>
    </row>
    <row r="1903" spans="1:25">
      <c r="A1903">
        <v>13531</v>
      </c>
      <c r="B1903" t="s">
        <v>25</v>
      </c>
      <c r="C1903" t="str">
        <f t="shared" si="60"/>
        <v>INTEGRA Saloon</v>
      </c>
      <c r="D1903" t="str">
        <f t="shared" si="59"/>
        <v>1.6 i</v>
      </c>
      <c r="E1903" t="s">
        <v>26</v>
      </c>
      <c r="F1903">
        <v>198501</v>
      </c>
      <c r="G1903">
        <v>199012</v>
      </c>
      <c r="H1903">
        <v>88</v>
      </c>
      <c r="I1903">
        <v>120</v>
      </c>
      <c r="J1903">
        <v>1590</v>
      </c>
      <c r="K1903">
        <v>2953861</v>
      </c>
      <c r="L1903" t="s">
        <v>1715</v>
      </c>
      <c r="M1903" t="str">
        <f>"G11093"</f>
        <v>G11093</v>
      </c>
      <c r="N1903" t="str">
        <f>"G11093"</f>
        <v>G11093</v>
      </c>
      <c r="O1903" t="str">
        <f>""</f>
        <v/>
      </c>
      <c r="P1903" t="s">
        <v>1749</v>
      </c>
      <c r="Q1903" t="str">
        <f>"8113000010251"</f>
        <v>8113000010251</v>
      </c>
      <c r="R1903" t="s">
        <v>1753</v>
      </c>
      <c r="S1903" t="s">
        <v>1632</v>
      </c>
      <c r="T1903" t="s">
        <v>1754</v>
      </c>
      <c r="U1903">
        <v>1644</v>
      </c>
      <c r="V1903" t="s">
        <v>1749</v>
      </c>
      <c r="W1903" t="s">
        <v>1752</v>
      </c>
      <c r="X1903" t="s">
        <v>641</v>
      </c>
      <c r="Y1903" t="s">
        <v>1749</v>
      </c>
    </row>
    <row r="1904" spans="1:25">
      <c r="A1904">
        <v>13531</v>
      </c>
      <c r="B1904" t="s">
        <v>25</v>
      </c>
      <c r="C1904" t="str">
        <f t="shared" si="60"/>
        <v>INTEGRA Saloon</v>
      </c>
      <c r="D1904" t="str">
        <f t="shared" si="59"/>
        <v>1.6 i</v>
      </c>
      <c r="E1904" t="s">
        <v>26</v>
      </c>
      <c r="F1904">
        <v>198501</v>
      </c>
      <c r="G1904">
        <v>199012</v>
      </c>
      <c r="H1904">
        <v>88</v>
      </c>
      <c r="I1904">
        <v>120</v>
      </c>
      <c r="J1904">
        <v>1590</v>
      </c>
      <c r="K1904">
        <v>2954723</v>
      </c>
      <c r="L1904" t="s">
        <v>1715</v>
      </c>
      <c r="M1904" t="str">
        <f>"G3571"</f>
        <v>G3571</v>
      </c>
      <c r="N1904" t="str">
        <f>"G3571"</f>
        <v>G3571</v>
      </c>
      <c r="O1904" t="str">
        <f>""</f>
        <v/>
      </c>
      <c r="P1904" t="s">
        <v>1749</v>
      </c>
      <c r="Q1904" t="str">
        <f>"8113000009064"</f>
        <v>8113000009064</v>
      </c>
      <c r="R1904" t="s">
        <v>1755</v>
      </c>
      <c r="S1904" t="s">
        <v>1632</v>
      </c>
      <c r="T1904" t="s">
        <v>1756</v>
      </c>
      <c r="U1904">
        <v>1644</v>
      </c>
      <c r="V1904" t="s">
        <v>1749</v>
      </c>
      <c r="W1904" t="s">
        <v>1752</v>
      </c>
      <c r="X1904" t="s">
        <v>641</v>
      </c>
      <c r="Y1904" t="s">
        <v>1749</v>
      </c>
    </row>
    <row r="1905" spans="1:25">
      <c r="A1905">
        <v>13531</v>
      </c>
      <c r="B1905" t="s">
        <v>25</v>
      </c>
      <c r="C1905" t="str">
        <f t="shared" si="60"/>
        <v>INTEGRA Saloon</v>
      </c>
      <c r="D1905" t="str">
        <f t="shared" si="59"/>
        <v>1.6 i</v>
      </c>
      <c r="E1905" t="s">
        <v>26</v>
      </c>
      <c r="F1905">
        <v>198501</v>
      </c>
      <c r="G1905">
        <v>199012</v>
      </c>
      <c r="H1905">
        <v>88</v>
      </c>
      <c r="I1905">
        <v>120</v>
      </c>
      <c r="J1905">
        <v>1590</v>
      </c>
      <c r="K1905">
        <v>2954724</v>
      </c>
      <c r="L1905" t="s">
        <v>1715</v>
      </c>
      <c r="M1905" t="str">
        <f>"G3572"</f>
        <v>G3572</v>
      </c>
      <c r="N1905" t="str">
        <f>"G3572"</f>
        <v>G3572</v>
      </c>
      <c r="O1905" t="str">
        <f>""</f>
        <v/>
      </c>
      <c r="P1905" t="s">
        <v>1749</v>
      </c>
      <c r="Q1905" t="str">
        <f>"8113000009071"</f>
        <v>8113000009071</v>
      </c>
      <c r="R1905" t="s">
        <v>1757</v>
      </c>
      <c r="S1905" t="s">
        <v>1632</v>
      </c>
      <c r="T1905" t="s">
        <v>1758</v>
      </c>
      <c r="U1905">
        <v>1644</v>
      </c>
      <c r="V1905" t="s">
        <v>1749</v>
      </c>
      <c r="W1905" t="s">
        <v>1752</v>
      </c>
      <c r="X1905" t="s">
        <v>641</v>
      </c>
      <c r="Y1905" t="s">
        <v>1749</v>
      </c>
    </row>
    <row r="1906" spans="1:25">
      <c r="A1906">
        <v>13531</v>
      </c>
      <c r="B1906" t="s">
        <v>25</v>
      </c>
      <c r="C1906" t="str">
        <f t="shared" si="60"/>
        <v>INTEGRA Saloon</v>
      </c>
      <c r="D1906" t="str">
        <f t="shared" si="59"/>
        <v>1.6 i</v>
      </c>
      <c r="E1906" t="s">
        <v>26</v>
      </c>
      <c r="F1906">
        <v>198501</v>
      </c>
      <c r="G1906">
        <v>199012</v>
      </c>
      <c r="H1906">
        <v>88</v>
      </c>
      <c r="I1906">
        <v>120</v>
      </c>
      <c r="J1906">
        <v>1590</v>
      </c>
      <c r="K1906">
        <v>4789855</v>
      </c>
      <c r="L1906" t="s">
        <v>995</v>
      </c>
      <c r="M1906" t="str">
        <f>"WG1053277"</f>
        <v>WG1053277</v>
      </c>
      <c r="N1906" t="str">
        <f>"WG1053277"</f>
        <v>WG1053277</v>
      </c>
      <c r="O1906" t="str">
        <f>""</f>
        <v/>
      </c>
      <c r="P1906" t="s">
        <v>1749</v>
      </c>
      <c r="Q1906" t="str">
        <f>"8113000009064"</f>
        <v>8113000009064</v>
      </c>
      <c r="R1906" t="s">
        <v>1755</v>
      </c>
      <c r="S1906" t="s">
        <v>1632</v>
      </c>
      <c r="T1906" t="s">
        <v>1756</v>
      </c>
      <c r="U1906">
        <v>1644</v>
      </c>
      <c r="V1906" t="s">
        <v>1749</v>
      </c>
      <c r="W1906" t="s">
        <v>1752</v>
      </c>
      <c r="X1906" t="s">
        <v>641</v>
      </c>
      <c r="Y1906" t="s">
        <v>1749</v>
      </c>
    </row>
    <row r="1907" spans="1:25">
      <c r="A1907">
        <v>13531</v>
      </c>
      <c r="B1907" t="s">
        <v>25</v>
      </c>
      <c r="C1907" t="str">
        <f t="shared" si="60"/>
        <v>INTEGRA Saloon</v>
      </c>
      <c r="D1907" t="str">
        <f t="shared" si="59"/>
        <v>1.6 i</v>
      </c>
      <c r="E1907" t="s">
        <v>26</v>
      </c>
      <c r="F1907">
        <v>198501</v>
      </c>
      <c r="G1907">
        <v>199012</v>
      </c>
      <c r="H1907">
        <v>88</v>
      </c>
      <c r="I1907">
        <v>120</v>
      </c>
      <c r="J1907">
        <v>1590</v>
      </c>
      <c r="K1907">
        <v>4789856</v>
      </c>
      <c r="L1907" t="s">
        <v>995</v>
      </c>
      <c r="M1907" t="str">
        <f>"WG1053278"</f>
        <v>WG1053278</v>
      </c>
      <c r="N1907" t="str">
        <f>"WG1053278"</f>
        <v>WG1053278</v>
      </c>
      <c r="O1907" t="str">
        <f>""</f>
        <v/>
      </c>
      <c r="P1907" t="s">
        <v>1749</v>
      </c>
      <c r="Q1907" t="str">
        <f>"8113000009071"</f>
        <v>8113000009071</v>
      </c>
      <c r="R1907" t="s">
        <v>1757</v>
      </c>
      <c r="S1907" t="s">
        <v>1632</v>
      </c>
      <c r="T1907" t="s">
        <v>1758</v>
      </c>
      <c r="U1907">
        <v>1644</v>
      </c>
      <c r="V1907" t="s">
        <v>1749</v>
      </c>
      <c r="W1907" t="s">
        <v>1752</v>
      </c>
      <c r="X1907" t="s">
        <v>641</v>
      </c>
      <c r="Y1907" t="s">
        <v>1749</v>
      </c>
    </row>
    <row r="1908" spans="1:25">
      <c r="A1908">
        <v>13531</v>
      </c>
      <c r="B1908" t="s">
        <v>25</v>
      </c>
      <c r="C1908" t="str">
        <f t="shared" si="60"/>
        <v>INTEGRA Saloon</v>
      </c>
      <c r="D1908" t="str">
        <f t="shared" si="59"/>
        <v>1.6 i</v>
      </c>
      <c r="E1908" t="s">
        <v>26</v>
      </c>
      <c r="F1908">
        <v>198501</v>
      </c>
      <c r="G1908">
        <v>199012</v>
      </c>
      <c r="H1908">
        <v>88</v>
      </c>
      <c r="I1908">
        <v>120</v>
      </c>
      <c r="J1908">
        <v>1590</v>
      </c>
      <c r="K1908">
        <v>4804188</v>
      </c>
      <c r="L1908" t="s">
        <v>995</v>
      </c>
      <c r="M1908" t="str">
        <f>"WG1155482"</f>
        <v>WG1155482</v>
      </c>
      <c r="N1908" t="str">
        <f>"WG1155482"</f>
        <v>WG1155482</v>
      </c>
      <c r="O1908" t="str">
        <f>""</f>
        <v/>
      </c>
      <c r="P1908" t="s">
        <v>1749</v>
      </c>
      <c r="Q1908" t="str">
        <f>"8113000010244"</f>
        <v>8113000010244</v>
      </c>
      <c r="R1908" t="s">
        <v>1750</v>
      </c>
      <c r="S1908" t="s">
        <v>1632</v>
      </c>
      <c r="T1908" t="s">
        <v>1751</v>
      </c>
      <c r="U1908">
        <v>1644</v>
      </c>
      <c r="V1908" t="s">
        <v>1749</v>
      </c>
      <c r="W1908" t="s">
        <v>1752</v>
      </c>
      <c r="X1908" t="s">
        <v>641</v>
      </c>
      <c r="Y1908" t="s">
        <v>1749</v>
      </c>
    </row>
    <row r="1909" spans="1:25">
      <c r="A1909">
        <v>13531</v>
      </c>
      <c r="B1909" t="s">
        <v>25</v>
      </c>
      <c r="C1909" t="str">
        <f t="shared" si="60"/>
        <v>INTEGRA Saloon</v>
      </c>
      <c r="D1909" t="str">
        <f t="shared" si="59"/>
        <v>1.6 i</v>
      </c>
      <c r="E1909" t="s">
        <v>26</v>
      </c>
      <c r="F1909">
        <v>198501</v>
      </c>
      <c r="G1909">
        <v>199012</v>
      </c>
      <c r="H1909">
        <v>88</v>
      </c>
      <c r="I1909">
        <v>120</v>
      </c>
      <c r="J1909">
        <v>1590</v>
      </c>
      <c r="K1909">
        <v>4804189</v>
      </c>
      <c r="L1909" t="s">
        <v>995</v>
      </c>
      <c r="M1909" t="str">
        <f>"WG1155483"</f>
        <v>WG1155483</v>
      </c>
      <c r="N1909" t="str">
        <f>"WG1155483"</f>
        <v>WG1155483</v>
      </c>
      <c r="O1909" t="str">
        <f>""</f>
        <v/>
      </c>
      <c r="P1909" t="s">
        <v>1749</v>
      </c>
      <c r="Q1909" t="str">
        <f>"8113000010251"</f>
        <v>8113000010251</v>
      </c>
      <c r="R1909" t="s">
        <v>1753</v>
      </c>
      <c r="S1909" t="s">
        <v>1632</v>
      </c>
      <c r="T1909" t="s">
        <v>1754</v>
      </c>
      <c r="U1909">
        <v>1644</v>
      </c>
      <c r="V1909" t="s">
        <v>1749</v>
      </c>
      <c r="W1909" t="s">
        <v>1752</v>
      </c>
      <c r="X1909" t="s">
        <v>641</v>
      </c>
      <c r="Y1909" t="s">
        <v>1749</v>
      </c>
    </row>
    <row r="1910" spans="1:25">
      <c r="A1910">
        <v>13531</v>
      </c>
      <c r="B1910" t="s">
        <v>25</v>
      </c>
      <c r="C1910" t="str">
        <f t="shared" si="60"/>
        <v>INTEGRA Saloon</v>
      </c>
      <c r="D1910" t="str">
        <f t="shared" si="59"/>
        <v>1.6 i</v>
      </c>
      <c r="E1910" t="s">
        <v>26</v>
      </c>
      <c r="F1910">
        <v>198501</v>
      </c>
      <c r="G1910">
        <v>199012</v>
      </c>
      <c r="H1910">
        <v>88</v>
      </c>
      <c r="I1910">
        <v>120</v>
      </c>
      <c r="J1910">
        <v>1590</v>
      </c>
      <c r="K1910">
        <v>4531224</v>
      </c>
      <c r="L1910" t="s">
        <v>59</v>
      </c>
      <c r="M1910" t="str">
        <f>"26040008"</f>
        <v>26040008</v>
      </c>
      <c r="N1910" t="str">
        <f>"26-040008"</f>
        <v>26-040008</v>
      </c>
      <c r="O1910" t="str">
        <f>""</f>
        <v/>
      </c>
      <c r="P1910" t="s">
        <v>1149</v>
      </c>
      <c r="Q1910" t="str">
        <f>""</f>
        <v/>
      </c>
      <c r="R1910" t="s">
        <v>1150</v>
      </c>
      <c r="S1910" t="s">
        <v>64</v>
      </c>
      <c r="T1910" t="s">
        <v>1151</v>
      </c>
      <c r="U1910">
        <v>2254</v>
      </c>
      <c r="V1910" t="s">
        <v>1149</v>
      </c>
      <c r="W1910" t="s">
        <v>1152</v>
      </c>
      <c r="X1910" t="s">
        <v>224</v>
      </c>
      <c r="Y1910" t="s">
        <v>1153</v>
      </c>
    </row>
    <row r="1911" spans="1:25">
      <c r="A1911">
        <v>13531</v>
      </c>
      <c r="B1911" t="s">
        <v>25</v>
      </c>
      <c r="C1911" t="str">
        <f t="shared" si="60"/>
        <v>INTEGRA Saloon</v>
      </c>
      <c r="D1911" t="str">
        <f t="shared" ref="D1911:D1974" si="61">"1.6 i"</f>
        <v>1.6 i</v>
      </c>
      <c r="E1911" t="s">
        <v>26</v>
      </c>
      <c r="F1911">
        <v>198501</v>
      </c>
      <c r="G1911">
        <v>199012</v>
      </c>
      <c r="H1911">
        <v>88</v>
      </c>
      <c r="I1911">
        <v>120</v>
      </c>
      <c r="J1911">
        <v>1590</v>
      </c>
      <c r="K1911">
        <v>2592489</v>
      </c>
      <c r="L1911" t="s">
        <v>1453</v>
      </c>
      <c r="M1911" t="str">
        <f>"73056"</f>
        <v>73056</v>
      </c>
      <c r="N1911" t="str">
        <f>"7.3056"</f>
        <v>7.3056</v>
      </c>
      <c r="O1911" t="str">
        <f>"EPS 1.830.056"</f>
        <v>EPS 1.830.056</v>
      </c>
      <c r="P1911" t="s">
        <v>1567</v>
      </c>
      <c r="Q1911" t="str">
        <f>"8012510040638"</f>
        <v>8012510040638</v>
      </c>
      <c r="S1911" t="s">
        <v>1632</v>
      </c>
      <c r="T1911" s="1" t="s">
        <v>1568</v>
      </c>
      <c r="U1911">
        <v>2394</v>
      </c>
      <c r="V1911" t="s">
        <v>1073</v>
      </c>
      <c r="W1911" t="s">
        <v>1077</v>
      </c>
      <c r="X1911" t="s">
        <v>1615</v>
      </c>
      <c r="Y1911" t="s">
        <v>1078</v>
      </c>
    </row>
    <row r="1912" spans="1:25">
      <c r="A1912">
        <v>13531</v>
      </c>
      <c r="B1912" t="s">
        <v>25</v>
      </c>
      <c r="C1912" t="str">
        <f t="shared" si="60"/>
        <v>INTEGRA Saloon</v>
      </c>
      <c r="D1912" t="str">
        <f t="shared" si="61"/>
        <v>1.6 i</v>
      </c>
      <c r="E1912" t="s">
        <v>26</v>
      </c>
      <c r="F1912">
        <v>198501</v>
      </c>
      <c r="G1912">
        <v>199012</v>
      </c>
      <c r="H1912">
        <v>88</v>
      </c>
      <c r="I1912">
        <v>120</v>
      </c>
      <c r="J1912">
        <v>1590</v>
      </c>
      <c r="K1912">
        <v>2592565</v>
      </c>
      <c r="L1912" t="s">
        <v>1453</v>
      </c>
      <c r="M1912" t="str">
        <f>"73198"</f>
        <v>73198</v>
      </c>
      <c r="N1912" t="str">
        <f>"7.3198"</f>
        <v>7.3198</v>
      </c>
      <c r="O1912" t="str">
        <f>"EPS 1.830.198"</f>
        <v>EPS 1.830.198</v>
      </c>
      <c r="P1912" t="s">
        <v>1569</v>
      </c>
      <c r="Q1912" t="str">
        <f>"8012510070772"</f>
        <v>8012510070772</v>
      </c>
      <c r="S1912" t="s">
        <v>1683</v>
      </c>
      <c r="T1912" s="1" t="s">
        <v>1570</v>
      </c>
      <c r="U1912">
        <v>2394</v>
      </c>
      <c r="V1912" t="s">
        <v>1073</v>
      </c>
      <c r="W1912" t="s">
        <v>1077</v>
      </c>
      <c r="X1912" t="s">
        <v>1615</v>
      </c>
      <c r="Y1912" t="s">
        <v>1078</v>
      </c>
    </row>
    <row r="1913" spans="1:25">
      <c r="A1913">
        <v>13531</v>
      </c>
      <c r="B1913" t="s">
        <v>25</v>
      </c>
      <c r="C1913" t="str">
        <f t="shared" si="60"/>
        <v>INTEGRA Saloon</v>
      </c>
      <c r="D1913" t="str">
        <f t="shared" si="61"/>
        <v>1.6 i</v>
      </c>
      <c r="E1913" t="s">
        <v>26</v>
      </c>
      <c r="F1913">
        <v>198501</v>
      </c>
      <c r="G1913">
        <v>199012</v>
      </c>
      <c r="H1913">
        <v>88</v>
      </c>
      <c r="I1913">
        <v>120</v>
      </c>
      <c r="J1913">
        <v>1590</v>
      </c>
      <c r="K1913">
        <v>2706981</v>
      </c>
      <c r="L1913" t="s">
        <v>1458</v>
      </c>
      <c r="M1913" t="str">
        <f>"V26720002"</f>
        <v>V26720002</v>
      </c>
      <c r="N1913" t="str">
        <f>"V26-72-0002"</f>
        <v>V26-72-0002</v>
      </c>
      <c r="O1913" t="str">
        <f>""</f>
        <v/>
      </c>
      <c r="P1913" t="s">
        <v>1567</v>
      </c>
      <c r="Q1913" t="str">
        <f>"4046001370090"</f>
        <v>4046001370090</v>
      </c>
      <c r="S1913" t="s">
        <v>1683</v>
      </c>
      <c r="T1913" s="1" t="s">
        <v>1571</v>
      </c>
      <c r="U1913">
        <v>2394</v>
      </c>
      <c r="V1913" t="s">
        <v>1073</v>
      </c>
      <c r="W1913" t="s">
        <v>1077</v>
      </c>
      <c r="X1913" t="s">
        <v>1615</v>
      </c>
      <c r="Y1913" t="s">
        <v>1078</v>
      </c>
    </row>
    <row r="1914" spans="1:25">
      <c r="A1914">
        <v>13531</v>
      </c>
      <c r="B1914" t="s">
        <v>25</v>
      </c>
      <c r="C1914" t="str">
        <f t="shared" si="60"/>
        <v>INTEGRA Saloon</v>
      </c>
      <c r="D1914" t="str">
        <f t="shared" si="61"/>
        <v>1.6 i</v>
      </c>
      <c r="E1914" t="s">
        <v>26</v>
      </c>
      <c r="F1914">
        <v>198501</v>
      </c>
      <c r="G1914">
        <v>199012</v>
      </c>
      <c r="H1914">
        <v>88</v>
      </c>
      <c r="I1914">
        <v>120</v>
      </c>
      <c r="J1914">
        <v>1590</v>
      </c>
      <c r="K1914">
        <v>3032566</v>
      </c>
      <c r="L1914" t="s">
        <v>33</v>
      </c>
      <c r="M1914" t="str">
        <f>"J4864000"</f>
        <v>J4864000</v>
      </c>
      <c r="N1914" t="str">
        <f>"J4864000"</f>
        <v>J4864000</v>
      </c>
      <c r="O1914" t="str">
        <f>""</f>
        <v/>
      </c>
      <c r="P1914" t="s">
        <v>1154</v>
      </c>
      <c r="Q1914" t="str">
        <f>"8711768066376"</f>
        <v>8711768066376</v>
      </c>
      <c r="S1914" t="s">
        <v>1155</v>
      </c>
      <c r="T1914" s="1" t="s">
        <v>1156</v>
      </c>
      <c r="U1914">
        <v>2462</v>
      </c>
      <c r="V1914" t="s">
        <v>1154</v>
      </c>
      <c r="W1914" t="s">
        <v>210</v>
      </c>
      <c r="X1914" t="s">
        <v>497</v>
      </c>
      <c r="Y1914" t="s">
        <v>1154</v>
      </c>
    </row>
    <row r="1915" spans="1:25">
      <c r="A1915">
        <v>13531</v>
      </c>
      <c r="B1915" t="s">
        <v>25</v>
      </c>
      <c r="C1915" t="str">
        <f t="shared" si="60"/>
        <v>INTEGRA Saloon</v>
      </c>
      <c r="D1915" t="str">
        <f t="shared" si="61"/>
        <v>1.6 i</v>
      </c>
      <c r="E1915" t="s">
        <v>26</v>
      </c>
      <c r="F1915">
        <v>198501</v>
      </c>
      <c r="G1915">
        <v>199012</v>
      </c>
      <c r="H1915">
        <v>88</v>
      </c>
      <c r="I1915">
        <v>120</v>
      </c>
      <c r="J1915">
        <v>1590</v>
      </c>
      <c r="K1915">
        <v>3964698</v>
      </c>
      <c r="L1915" t="s">
        <v>27</v>
      </c>
      <c r="M1915" t="str">
        <f>"H57502"</f>
        <v>H57502</v>
      </c>
      <c r="N1915" t="str">
        <f>"H575-02"</f>
        <v>H575-02</v>
      </c>
      <c r="O1915" t="str">
        <f>""</f>
        <v/>
      </c>
      <c r="P1915" t="s">
        <v>1154</v>
      </c>
      <c r="Q1915" t="str">
        <f>"8718993218617"</f>
        <v>8718993218617</v>
      </c>
      <c r="R1915" t="s">
        <v>1157</v>
      </c>
      <c r="T1915" s="1" t="s">
        <v>1158</v>
      </c>
      <c r="U1915">
        <v>2462</v>
      </c>
      <c r="V1915" t="s">
        <v>1154</v>
      </c>
      <c r="W1915" t="s">
        <v>210</v>
      </c>
      <c r="X1915" t="s">
        <v>497</v>
      </c>
      <c r="Y1915" t="s">
        <v>1154</v>
      </c>
    </row>
    <row r="1916" spans="1:25">
      <c r="A1916">
        <v>13531</v>
      </c>
      <c r="B1916" t="s">
        <v>25</v>
      </c>
      <c r="C1916" t="str">
        <f t="shared" si="60"/>
        <v>INTEGRA Saloon</v>
      </c>
      <c r="D1916" t="str">
        <f t="shared" si="61"/>
        <v>1.6 i</v>
      </c>
      <c r="E1916" t="s">
        <v>26</v>
      </c>
      <c r="F1916">
        <v>198501</v>
      </c>
      <c r="G1916">
        <v>199012</v>
      </c>
      <c r="H1916">
        <v>88</v>
      </c>
      <c r="I1916">
        <v>120</v>
      </c>
      <c r="J1916">
        <v>1590</v>
      </c>
      <c r="K1916">
        <v>801777</v>
      </c>
      <c r="L1916" t="s">
        <v>231</v>
      </c>
      <c r="M1916" t="str">
        <f>"A02602"</f>
        <v>A02602</v>
      </c>
      <c r="N1916" t="str">
        <f>"A 02 602"</f>
        <v>A 02 602</v>
      </c>
      <c r="O1916" t="str">
        <f>""</f>
        <v/>
      </c>
      <c r="P1916" t="s">
        <v>1159</v>
      </c>
      <c r="Q1916" t="str">
        <f>"8020584109076"</f>
        <v>8020584109076</v>
      </c>
      <c r="S1916" t="s">
        <v>221</v>
      </c>
      <c r="U1916">
        <v>2513</v>
      </c>
      <c r="V1916" t="s">
        <v>1159</v>
      </c>
      <c r="W1916" t="s">
        <v>1130</v>
      </c>
      <c r="X1916" t="s">
        <v>224</v>
      </c>
      <c r="Y1916" t="s">
        <v>261</v>
      </c>
    </row>
    <row r="1917" spans="1:25">
      <c r="A1917">
        <v>13531</v>
      </c>
      <c r="B1917" t="s">
        <v>25</v>
      </c>
      <c r="C1917" t="str">
        <f t="shared" si="60"/>
        <v>INTEGRA Saloon</v>
      </c>
      <c r="D1917" t="str">
        <f t="shared" si="61"/>
        <v>1.6 i</v>
      </c>
      <c r="E1917" t="s">
        <v>26</v>
      </c>
      <c r="F1917">
        <v>198501</v>
      </c>
      <c r="G1917">
        <v>199012</v>
      </c>
      <c r="H1917">
        <v>88</v>
      </c>
      <c r="I1917">
        <v>120</v>
      </c>
      <c r="J1917">
        <v>1590</v>
      </c>
      <c r="K1917">
        <v>1076805</v>
      </c>
      <c r="L1917" t="s">
        <v>690</v>
      </c>
      <c r="M1917" t="str">
        <f>"8DZ355201601"</f>
        <v>8DZ355201601</v>
      </c>
      <c r="N1917" t="str">
        <f>"8DZ 355 201-601"</f>
        <v>8DZ 355 201-601</v>
      </c>
      <c r="O1917" t="str">
        <f>""</f>
        <v/>
      </c>
      <c r="P1917" t="s">
        <v>1159</v>
      </c>
      <c r="Q1917" t="str">
        <f>"4082300384093"</f>
        <v>4082300384093</v>
      </c>
      <c r="R1917" t="s">
        <v>1160</v>
      </c>
      <c r="S1917" t="s">
        <v>221</v>
      </c>
      <c r="T1917" t="s">
        <v>1161</v>
      </c>
      <c r="U1917">
        <v>2513</v>
      </c>
      <c r="V1917" t="s">
        <v>1159</v>
      </c>
      <c r="W1917" t="s">
        <v>1130</v>
      </c>
      <c r="X1917" t="s">
        <v>224</v>
      </c>
      <c r="Y1917" t="s">
        <v>261</v>
      </c>
    </row>
    <row r="1918" spans="1:25">
      <c r="A1918">
        <v>13531</v>
      </c>
      <c r="B1918" t="s">
        <v>25</v>
      </c>
      <c r="C1918" t="str">
        <f t="shared" si="60"/>
        <v>INTEGRA Saloon</v>
      </c>
      <c r="D1918" t="str">
        <f t="shared" si="61"/>
        <v>1.6 i</v>
      </c>
      <c r="E1918" t="s">
        <v>26</v>
      </c>
      <c r="F1918">
        <v>198501</v>
      </c>
      <c r="G1918">
        <v>199012</v>
      </c>
      <c r="H1918">
        <v>88</v>
      </c>
      <c r="I1918">
        <v>120</v>
      </c>
      <c r="J1918">
        <v>1590</v>
      </c>
      <c r="K1918">
        <v>1151375</v>
      </c>
      <c r="L1918" t="s">
        <v>698</v>
      </c>
      <c r="M1918" t="str">
        <f>"K0396"</f>
        <v>K0396</v>
      </c>
      <c r="N1918" t="str">
        <f>"K0396"</f>
        <v>K0396</v>
      </c>
      <c r="O1918" t="str">
        <f>"97200 0630"</f>
        <v>97200 0630</v>
      </c>
      <c r="P1918" t="s">
        <v>1159</v>
      </c>
      <c r="Q1918" t="str">
        <f>"4007590215230"</f>
        <v>4007590215230</v>
      </c>
      <c r="R1918" t="s">
        <v>1162</v>
      </c>
      <c r="S1918" t="s">
        <v>221</v>
      </c>
      <c r="T1918" t="s">
        <v>1163</v>
      </c>
      <c r="U1918">
        <v>2513</v>
      </c>
      <c r="V1918" t="s">
        <v>1159</v>
      </c>
      <c r="W1918" t="s">
        <v>1130</v>
      </c>
      <c r="X1918" t="s">
        <v>224</v>
      </c>
      <c r="Y1918" t="s">
        <v>261</v>
      </c>
    </row>
    <row r="1919" spans="1:25">
      <c r="A1919">
        <v>13531</v>
      </c>
      <c r="B1919" t="s">
        <v>25</v>
      </c>
      <c r="C1919" t="str">
        <f t="shared" si="60"/>
        <v>INTEGRA Saloon</v>
      </c>
      <c r="D1919" t="str">
        <f t="shared" si="61"/>
        <v>1.6 i</v>
      </c>
      <c r="E1919" t="s">
        <v>26</v>
      </c>
      <c r="F1919">
        <v>198501</v>
      </c>
      <c r="G1919">
        <v>199012</v>
      </c>
      <c r="H1919">
        <v>88</v>
      </c>
      <c r="I1919">
        <v>120</v>
      </c>
      <c r="J1919">
        <v>1590</v>
      </c>
      <c r="K1919">
        <v>1637640</v>
      </c>
      <c r="L1919" t="s">
        <v>707</v>
      </c>
      <c r="M1919" t="str">
        <f>"82063000"</f>
        <v>82063000</v>
      </c>
      <c r="N1919" t="str">
        <f>"82063000"</f>
        <v>82063000</v>
      </c>
      <c r="O1919" t="str">
        <f>"97200 0630"</f>
        <v>97200 0630</v>
      </c>
      <c r="P1919" t="s">
        <v>1159</v>
      </c>
      <c r="Q1919" t="str">
        <f>"4019722432927"</f>
        <v>4019722432927</v>
      </c>
      <c r="R1919" t="s">
        <v>1164</v>
      </c>
      <c r="S1919" t="s">
        <v>221</v>
      </c>
      <c r="T1919" t="s">
        <v>1165</v>
      </c>
      <c r="U1919">
        <v>2513</v>
      </c>
      <c r="V1919" t="s">
        <v>1159</v>
      </c>
      <c r="W1919" t="s">
        <v>1130</v>
      </c>
      <c r="X1919" t="s">
        <v>224</v>
      </c>
      <c r="Y1919" t="s">
        <v>261</v>
      </c>
    </row>
    <row r="1920" spans="1:25">
      <c r="A1920">
        <v>13531</v>
      </c>
      <c r="B1920" t="s">
        <v>25</v>
      </c>
      <c r="C1920" t="str">
        <f t="shared" si="60"/>
        <v>INTEGRA Saloon</v>
      </c>
      <c r="D1920" t="str">
        <f t="shared" si="61"/>
        <v>1.6 i</v>
      </c>
      <c r="E1920" t="s">
        <v>26</v>
      </c>
      <c r="F1920">
        <v>198501</v>
      </c>
      <c r="G1920">
        <v>199012</v>
      </c>
      <c r="H1920">
        <v>88</v>
      </c>
      <c r="I1920">
        <v>120</v>
      </c>
      <c r="J1920">
        <v>1590</v>
      </c>
      <c r="K1920">
        <v>1918756</v>
      </c>
      <c r="L1920" t="s">
        <v>746</v>
      </c>
      <c r="M1920" t="str">
        <f>"MBA1319A"</f>
        <v>MBA1319A</v>
      </c>
      <c r="N1920" t="str">
        <f>"MBA1319A"</f>
        <v>MBA1319A</v>
      </c>
      <c r="O1920" t="str">
        <f>"97200 0630"</f>
        <v>97200 0630</v>
      </c>
      <c r="P1920" t="s">
        <v>1159</v>
      </c>
      <c r="Q1920" t="str">
        <f>"5028740769389"</f>
        <v>5028740769389</v>
      </c>
      <c r="R1920" t="s">
        <v>1162</v>
      </c>
      <c r="S1920" t="s">
        <v>221</v>
      </c>
      <c r="T1920" t="s">
        <v>1166</v>
      </c>
      <c r="U1920">
        <v>2513</v>
      </c>
      <c r="V1920" t="s">
        <v>1159</v>
      </c>
      <c r="W1920" t="s">
        <v>1130</v>
      </c>
      <c r="X1920" t="s">
        <v>224</v>
      </c>
      <c r="Y1920" t="s">
        <v>261</v>
      </c>
    </row>
    <row r="1921" spans="1:25">
      <c r="A1921">
        <v>13531</v>
      </c>
      <c r="B1921" t="s">
        <v>25</v>
      </c>
      <c r="C1921" t="str">
        <f t="shared" si="60"/>
        <v>INTEGRA Saloon</v>
      </c>
      <c r="D1921" t="str">
        <f t="shared" si="61"/>
        <v>1.6 i</v>
      </c>
      <c r="E1921" t="s">
        <v>26</v>
      </c>
      <c r="F1921">
        <v>198501</v>
      </c>
      <c r="G1921">
        <v>199012</v>
      </c>
      <c r="H1921">
        <v>88</v>
      </c>
      <c r="I1921">
        <v>120</v>
      </c>
      <c r="J1921">
        <v>1590</v>
      </c>
      <c r="K1921">
        <v>4478670</v>
      </c>
      <c r="L1921" t="s">
        <v>909</v>
      </c>
      <c r="M1921" t="str">
        <f>"8DZ355201601"</f>
        <v>8DZ355201601</v>
      </c>
      <c r="N1921" t="str">
        <f>"8DZ 355 201-601"</f>
        <v>8DZ 355 201-601</v>
      </c>
      <c r="O1921" t="str">
        <f>"K0396"</f>
        <v>K0396</v>
      </c>
      <c r="P1921" t="s">
        <v>1159</v>
      </c>
      <c r="Q1921" t="str">
        <f>"4082300384093"</f>
        <v>4082300384093</v>
      </c>
      <c r="R1921" t="s">
        <v>1160</v>
      </c>
      <c r="S1921" t="s">
        <v>221</v>
      </c>
      <c r="T1921" t="s">
        <v>1161</v>
      </c>
      <c r="U1921">
        <v>2513</v>
      </c>
      <c r="V1921" t="s">
        <v>1159</v>
      </c>
      <c r="W1921" t="s">
        <v>1130</v>
      </c>
      <c r="X1921" t="s">
        <v>224</v>
      </c>
      <c r="Y1921" t="s">
        <v>261</v>
      </c>
    </row>
    <row r="1922" spans="1:25">
      <c r="A1922">
        <v>13531</v>
      </c>
      <c r="B1922" t="s">
        <v>25</v>
      </c>
      <c r="C1922" t="str">
        <f t="shared" ref="C1922:C1985" si="62">"INTEGRA Saloon"</f>
        <v>INTEGRA Saloon</v>
      </c>
      <c r="D1922" t="str">
        <f t="shared" si="61"/>
        <v>1.6 i</v>
      </c>
      <c r="E1922" t="s">
        <v>26</v>
      </c>
      <c r="F1922">
        <v>198501</v>
      </c>
      <c r="G1922">
        <v>199012</v>
      </c>
      <c r="H1922">
        <v>88</v>
      </c>
      <c r="I1922">
        <v>120</v>
      </c>
      <c r="J1922">
        <v>1590</v>
      </c>
      <c r="K1922">
        <v>747471</v>
      </c>
      <c r="L1922" t="s">
        <v>1167</v>
      </c>
      <c r="M1922" t="str">
        <f>"TOPTECATF1100"</f>
        <v>TOPTECATF1100</v>
      </c>
      <c r="N1922" t="str">
        <f>"TOP TEC ATF 1100"</f>
        <v>TOP TEC ATF 1100</v>
      </c>
      <c r="O1922" t="str">
        <f>""</f>
        <v/>
      </c>
      <c r="P1922" t="s">
        <v>1168</v>
      </c>
      <c r="Q1922" t="str">
        <f>""</f>
        <v/>
      </c>
      <c r="S1922" t="s">
        <v>1169</v>
      </c>
      <c r="U1922">
        <v>3069</v>
      </c>
      <c r="V1922" t="s">
        <v>1170</v>
      </c>
      <c r="W1922" t="s">
        <v>1171</v>
      </c>
      <c r="X1922" t="s">
        <v>1172</v>
      </c>
      <c r="Y1922" t="s">
        <v>1172</v>
      </c>
    </row>
    <row r="1923" spans="1:25">
      <c r="A1923">
        <v>13531</v>
      </c>
      <c r="B1923" t="s">
        <v>25</v>
      </c>
      <c r="C1923" t="str">
        <f t="shared" si="62"/>
        <v>INTEGRA Saloon</v>
      </c>
      <c r="D1923" t="str">
        <f t="shared" si="61"/>
        <v>1.6 i</v>
      </c>
      <c r="E1923" t="s">
        <v>26</v>
      </c>
      <c r="F1923">
        <v>198501</v>
      </c>
      <c r="G1923">
        <v>199012</v>
      </c>
      <c r="H1923">
        <v>88</v>
      </c>
      <c r="I1923">
        <v>120</v>
      </c>
      <c r="J1923">
        <v>1590</v>
      </c>
      <c r="K1923">
        <v>750267</v>
      </c>
      <c r="L1923" t="s">
        <v>1173</v>
      </c>
      <c r="M1923" t="str">
        <f>"GETRIEBEOLATF55"</f>
        <v>GETRIEBEOLATF55</v>
      </c>
      <c r="N1923" t="str">
        <f>"Getriebeol ATF 55"</f>
        <v>Getriebeol ATF 55</v>
      </c>
      <c r="O1923" t="str">
        <f>""</f>
        <v/>
      </c>
      <c r="P1923" t="s">
        <v>1174</v>
      </c>
      <c r="Q1923" t="str">
        <f>""</f>
        <v/>
      </c>
      <c r="S1923" t="s">
        <v>1175</v>
      </c>
      <c r="U1923">
        <v>3069</v>
      </c>
      <c r="V1923" t="s">
        <v>1170</v>
      </c>
      <c r="W1923" t="s">
        <v>1171</v>
      </c>
      <c r="X1923" t="s">
        <v>1172</v>
      </c>
      <c r="Y1923" t="s">
        <v>1172</v>
      </c>
    </row>
    <row r="1924" spans="1:25">
      <c r="A1924">
        <v>13531</v>
      </c>
      <c r="B1924" t="s">
        <v>25</v>
      </c>
      <c r="C1924" t="str">
        <f t="shared" si="62"/>
        <v>INTEGRA Saloon</v>
      </c>
      <c r="D1924" t="str">
        <f t="shared" si="61"/>
        <v>1.6 i</v>
      </c>
      <c r="E1924" t="s">
        <v>26</v>
      </c>
      <c r="F1924">
        <v>198501</v>
      </c>
      <c r="G1924">
        <v>199012</v>
      </c>
      <c r="H1924">
        <v>88</v>
      </c>
      <c r="I1924">
        <v>120</v>
      </c>
      <c r="J1924">
        <v>1590</v>
      </c>
      <c r="K1924">
        <v>877949</v>
      </c>
      <c r="L1924" t="s">
        <v>1176</v>
      </c>
      <c r="M1924" t="str">
        <f>"51800"</f>
        <v>51800</v>
      </c>
      <c r="N1924" t="str">
        <f>"51800"</f>
        <v>51800</v>
      </c>
      <c r="O1924" t="str">
        <f>""</f>
        <v/>
      </c>
      <c r="P1924" t="s">
        <v>1170</v>
      </c>
      <c r="Q1924" t="str">
        <f>""</f>
        <v/>
      </c>
      <c r="S1924" t="s">
        <v>1175</v>
      </c>
      <c r="U1924">
        <v>3069</v>
      </c>
      <c r="V1924" t="s">
        <v>1170</v>
      </c>
      <c r="W1924" t="s">
        <v>1171</v>
      </c>
      <c r="X1924" t="s">
        <v>1172</v>
      </c>
      <c r="Y1924" t="s">
        <v>1172</v>
      </c>
    </row>
    <row r="1925" spans="1:25">
      <c r="A1925">
        <v>13531</v>
      </c>
      <c r="B1925" t="s">
        <v>25</v>
      </c>
      <c r="C1925" t="str">
        <f t="shared" si="62"/>
        <v>INTEGRA Saloon</v>
      </c>
      <c r="D1925" t="str">
        <f t="shared" si="61"/>
        <v>1.6 i</v>
      </c>
      <c r="E1925" t="s">
        <v>26</v>
      </c>
      <c r="F1925">
        <v>198501</v>
      </c>
      <c r="G1925">
        <v>199012</v>
      </c>
      <c r="H1925">
        <v>88</v>
      </c>
      <c r="I1925">
        <v>120</v>
      </c>
      <c r="J1925">
        <v>1590</v>
      </c>
      <c r="K1925">
        <v>878119</v>
      </c>
      <c r="L1925" t="s">
        <v>1176</v>
      </c>
      <c r="M1925" t="str">
        <f>"51810"</f>
        <v>51810</v>
      </c>
      <c r="N1925" t="str">
        <f>"51810"</f>
        <v>51810</v>
      </c>
      <c r="O1925" t="str">
        <f>""</f>
        <v/>
      </c>
      <c r="P1925" t="s">
        <v>1170</v>
      </c>
      <c r="Q1925" t="str">
        <f>""</f>
        <v/>
      </c>
      <c r="S1925" t="s">
        <v>1175</v>
      </c>
      <c r="U1925">
        <v>3069</v>
      </c>
      <c r="V1925" t="s">
        <v>1170</v>
      </c>
      <c r="W1925" t="s">
        <v>1171</v>
      </c>
      <c r="X1925" t="s">
        <v>1172</v>
      </c>
      <c r="Y1925" t="s">
        <v>1172</v>
      </c>
    </row>
    <row r="1926" spans="1:25">
      <c r="A1926">
        <v>13531</v>
      </c>
      <c r="B1926" t="s">
        <v>25</v>
      </c>
      <c r="C1926" t="str">
        <f t="shared" si="62"/>
        <v>INTEGRA Saloon</v>
      </c>
      <c r="D1926" t="str">
        <f t="shared" si="61"/>
        <v>1.6 i</v>
      </c>
      <c r="E1926" t="s">
        <v>26</v>
      </c>
      <c r="F1926">
        <v>198501</v>
      </c>
      <c r="G1926">
        <v>199012</v>
      </c>
      <c r="H1926">
        <v>88</v>
      </c>
      <c r="I1926">
        <v>120</v>
      </c>
      <c r="J1926">
        <v>1590</v>
      </c>
      <c r="K1926">
        <v>878124</v>
      </c>
      <c r="L1926" t="s">
        <v>1176</v>
      </c>
      <c r="M1926" t="str">
        <f>"51820"</f>
        <v>51820</v>
      </c>
      <c r="N1926" t="str">
        <f>"51820"</f>
        <v>51820</v>
      </c>
      <c r="O1926" t="str">
        <f>""</f>
        <v/>
      </c>
      <c r="P1926" t="s">
        <v>1170</v>
      </c>
      <c r="Q1926" t="str">
        <f>""</f>
        <v/>
      </c>
      <c r="S1926" t="s">
        <v>1175</v>
      </c>
      <c r="U1926">
        <v>3069</v>
      </c>
      <c r="V1926" t="s">
        <v>1170</v>
      </c>
      <c r="W1926" t="s">
        <v>1171</v>
      </c>
      <c r="X1926" t="s">
        <v>1172</v>
      </c>
      <c r="Y1926" t="s">
        <v>1172</v>
      </c>
    </row>
    <row r="1927" spans="1:25">
      <c r="A1927">
        <v>13531</v>
      </c>
      <c r="B1927" t="s">
        <v>25</v>
      </c>
      <c r="C1927" t="str">
        <f t="shared" si="62"/>
        <v>INTEGRA Saloon</v>
      </c>
      <c r="D1927" t="str">
        <f t="shared" si="61"/>
        <v>1.6 i</v>
      </c>
      <c r="E1927" t="s">
        <v>26</v>
      </c>
      <c r="F1927">
        <v>198501</v>
      </c>
      <c r="G1927">
        <v>199012</v>
      </c>
      <c r="H1927">
        <v>88</v>
      </c>
      <c r="I1927">
        <v>120</v>
      </c>
      <c r="J1927">
        <v>1590</v>
      </c>
      <c r="K1927">
        <v>878129</v>
      </c>
      <c r="L1927" t="s">
        <v>1176</v>
      </c>
      <c r="M1927" t="str">
        <f>"51830"</f>
        <v>51830</v>
      </c>
      <c r="N1927" t="str">
        <f>"51830"</f>
        <v>51830</v>
      </c>
      <c r="O1927" t="str">
        <f>""</f>
        <v/>
      </c>
      <c r="P1927" t="s">
        <v>1170</v>
      </c>
      <c r="Q1927" t="str">
        <f>""</f>
        <v/>
      </c>
      <c r="S1927" t="s">
        <v>1175</v>
      </c>
      <c r="U1927">
        <v>3069</v>
      </c>
      <c r="V1927" t="s">
        <v>1170</v>
      </c>
      <c r="W1927" t="s">
        <v>1171</v>
      </c>
      <c r="X1927" t="s">
        <v>1172</v>
      </c>
      <c r="Y1927" t="s">
        <v>1172</v>
      </c>
    </row>
    <row r="1928" spans="1:25">
      <c r="A1928">
        <v>13531</v>
      </c>
      <c r="B1928" t="s">
        <v>25</v>
      </c>
      <c r="C1928" t="str">
        <f t="shared" si="62"/>
        <v>INTEGRA Saloon</v>
      </c>
      <c r="D1928" t="str">
        <f t="shared" si="61"/>
        <v>1.6 i</v>
      </c>
      <c r="E1928" t="s">
        <v>26</v>
      </c>
      <c r="F1928">
        <v>198501</v>
      </c>
      <c r="G1928">
        <v>199012</v>
      </c>
      <c r="H1928">
        <v>88</v>
      </c>
      <c r="I1928">
        <v>120</v>
      </c>
      <c r="J1928">
        <v>1590</v>
      </c>
      <c r="K1928">
        <v>2738720</v>
      </c>
      <c r="L1928" t="s">
        <v>1177</v>
      </c>
      <c r="M1928" t="str">
        <f>"3001"</f>
        <v>3001</v>
      </c>
      <c r="N1928" t="str">
        <f>"3001"</f>
        <v>3001</v>
      </c>
      <c r="O1928" t="str">
        <f>""</f>
        <v/>
      </c>
      <c r="P1928" t="s">
        <v>1178</v>
      </c>
      <c r="Q1928" t="str">
        <f>""</f>
        <v/>
      </c>
      <c r="S1928" t="s">
        <v>1175</v>
      </c>
      <c r="U1928">
        <v>3069</v>
      </c>
      <c r="V1928" t="s">
        <v>1170</v>
      </c>
      <c r="W1928" t="s">
        <v>1171</v>
      </c>
      <c r="X1928" t="s">
        <v>1172</v>
      </c>
      <c r="Y1928" t="s">
        <v>1172</v>
      </c>
    </row>
    <row r="1929" spans="1:25">
      <c r="A1929">
        <v>13531</v>
      </c>
      <c r="B1929" t="s">
        <v>25</v>
      </c>
      <c r="C1929" t="str">
        <f t="shared" si="62"/>
        <v>INTEGRA Saloon</v>
      </c>
      <c r="D1929" t="str">
        <f t="shared" si="61"/>
        <v>1.6 i</v>
      </c>
      <c r="E1929" t="s">
        <v>26</v>
      </c>
      <c r="F1929">
        <v>198501</v>
      </c>
      <c r="G1929">
        <v>199012</v>
      </c>
      <c r="H1929">
        <v>88</v>
      </c>
      <c r="I1929">
        <v>120</v>
      </c>
      <c r="J1929">
        <v>1590</v>
      </c>
      <c r="K1929">
        <v>2738722</v>
      </c>
      <c r="L1929" t="s">
        <v>1177</v>
      </c>
      <c r="M1929" t="str">
        <f>"3003"</f>
        <v>3003</v>
      </c>
      <c r="N1929" t="str">
        <f>"3003"</f>
        <v>3003</v>
      </c>
      <c r="O1929" t="str">
        <f>""</f>
        <v/>
      </c>
      <c r="P1929" t="s">
        <v>1179</v>
      </c>
      <c r="Q1929" t="str">
        <f>""</f>
        <v/>
      </c>
      <c r="S1929" t="s">
        <v>1175</v>
      </c>
      <c r="U1929">
        <v>3069</v>
      </c>
      <c r="V1929" t="s">
        <v>1170</v>
      </c>
      <c r="W1929" t="s">
        <v>1171</v>
      </c>
      <c r="X1929" t="s">
        <v>1172</v>
      </c>
      <c r="Y1929" t="s">
        <v>1172</v>
      </c>
    </row>
    <row r="1930" spans="1:25">
      <c r="A1930">
        <v>13531</v>
      </c>
      <c r="B1930" t="s">
        <v>25</v>
      </c>
      <c r="C1930" t="str">
        <f t="shared" si="62"/>
        <v>INTEGRA Saloon</v>
      </c>
      <c r="D1930" t="str">
        <f t="shared" si="61"/>
        <v>1.6 i</v>
      </c>
      <c r="E1930" t="s">
        <v>26</v>
      </c>
      <c r="F1930">
        <v>198501</v>
      </c>
      <c r="G1930">
        <v>199012</v>
      </c>
      <c r="H1930">
        <v>88</v>
      </c>
      <c r="I1930">
        <v>120</v>
      </c>
      <c r="J1930">
        <v>1590</v>
      </c>
      <c r="K1930">
        <v>2739485</v>
      </c>
      <c r="L1930" t="s">
        <v>1180</v>
      </c>
      <c r="M1930" t="str">
        <f>"3001"</f>
        <v>3001</v>
      </c>
      <c r="N1930" t="str">
        <f>"3001"</f>
        <v>3001</v>
      </c>
      <c r="O1930" t="str">
        <f>""</f>
        <v/>
      </c>
      <c r="P1930" t="s">
        <v>1178</v>
      </c>
      <c r="Q1930" t="str">
        <f>""</f>
        <v/>
      </c>
      <c r="S1930" t="s">
        <v>1175</v>
      </c>
      <c r="U1930">
        <v>3069</v>
      </c>
      <c r="V1930" t="s">
        <v>1170</v>
      </c>
      <c r="W1930" t="s">
        <v>1171</v>
      </c>
      <c r="X1930" t="s">
        <v>1172</v>
      </c>
      <c r="Y1930" t="s">
        <v>1172</v>
      </c>
    </row>
    <row r="1931" spans="1:25">
      <c r="A1931">
        <v>13531</v>
      </c>
      <c r="B1931" t="s">
        <v>25</v>
      </c>
      <c r="C1931" t="str">
        <f t="shared" si="62"/>
        <v>INTEGRA Saloon</v>
      </c>
      <c r="D1931" t="str">
        <f t="shared" si="61"/>
        <v>1.6 i</v>
      </c>
      <c r="E1931" t="s">
        <v>26</v>
      </c>
      <c r="F1931">
        <v>198501</v>
      </c>
      <c r="G1931">
        <v>199012</v>
      </c>
      <c r="H1931">
        <v>88</v>
      </c>
      <c r="I1931">
        <v>120</v>
      </c>
      <c r="J1931">
        <v>1590</v>
      </c>
      <c r="K1931">
        <v>2739487</v>
      </c>
      <c r="L1931" t="s">
        <v>1180</v>
      </c>
      <c r="M1931" t="str">
        <f>"3003"</f>
        <v>3003</v>
      </c>
      <c r="N1931" t="str">
        <f>"3003"</f>
        <v>3003</v>
      </c>
      <c r="O1931" t="str">
        <f>""</f>
        <v/>
      </c>
      <c r="P1931" t="s">
        <v>1179</v>
      </c>
      <c r="Q1931" t="str">
        <f>""</f>
        <v/>
      </c>
      <c r="S1931" t="s">
        <v>1175</v>
      </c>
      <c r="U1931">
        <v>3069</v>
      </c>
      <c r="V1931" t="s">
        <v>1170</v>
      </c>
      <c r="W1931" t="s">
        <v>1171</v>
      </c>
      <c r="X1931" t="s">
        <v>1172</v>
      </c>
      <c r="Y1931" t="s">
        <v>1172</v>
      </c>
    </row>
    <row r="1932" spans="1:25">
      <c r="A1932">
        <v>13531</v>
      </c>
      <c r="B1932" t="s">
        <v>25</v>
      </c>
      <c r="C1932" t="str">
        <f t="shared" si="62"/>
        <v>INTEGRA Saloon</v>
      </c>
      <c r="D1932" t="str">
        <f t="shared" si="61"/>
        <v>1.6 i</v>
      </c>
      <c r="E1932" t="s">
        <v>26</v>
      </c>
      <c r="F1932">
        <v>198501</v>
      </c>
      <c r="G1932">
        <v>199012</v>
      </c>
      <c r="H1932">
        <v>88</v>
      </c>
      <c r="I1932">
        <v>120</v>
      </c>
      <c r="J1932">
        <v>1590</v>
      </c>
      <c r="K1932">
        <v>2861530</v>
      </c>
      <c r="L1932" t="s">
        <v>1181</v>
      </c>
      <c r="M1932" t="str">
        <f>"0223"</f>
        <v>0223</v>
      </c>
      <c r="N1932" t="str">
        <f>"0223"</f>
        <v>0223</v>
      </c>
      <c r="O1932" t="str">
        <f>""</f>
        <v/>
      </c>
      <c r="P1932" t="s">
        <v>1174</v>
      </c>
      <c r="Q1932" t="str">
        <f>""</f>
        <v/>
      </c>
      <c r="S1932" t="s">
        <v>1175</v>
      </c>
      <c r="U1932">
        <v>3069</v>
      </c>
      <c r="V1932" t="s">
        <v>1170</v>
      </c>
      <c r="W1932" t="s">
        <v>1171</v>
      </c>
      <c r="X1932" t="s">
        <v>1172</v>
      </c>
      <c r="Y1932" t="s">
        <v>1172</v>
      </c>
    </row>
    <row r="1933" spans="1:25">
      <c r="A1933">
        <v>13531</v>
      </c>
      <c r="B1933" t="s">
        <v>25</v>
      </c>
      <c r="C1933" t="str">
        <f t="shared" si="62"/>
        <v>INTEGRA Saloon</v>
      </c>
      <c r="D1933" t="str">
        <f t="shared" si="61"/>
        <v>1.6 i</v>
      </c>
      <c r="E1933" t="s">
        <v>26</v>
      </c>
      <c r="F1933">
        <v>198501</v>
      </c>
      <c r="G1933">
        <v>199012</v>
      </c>
      <c r="H1933">
        <v>88</v>
      </c>
      <c r="I1933">
        <v>120</v>
      </c>
      <c r="J1933">
        <v>1590</v>
      </c>
      <c r="K1933">
        <v>2862030</v>
      </c>
      <c r="L1933" t="s">
        <v>1181</v>
      </c>
      <c r="M1933" t="str">
        <f>"TRANSMAXDEXIIIMULTI"</f>
        <v>TRANSMAXDEXIIIMULTI</v>
      </c>
      <c r="N1933" t="str">
        <f>"Transmax DexIII Multi"</f>
        <v>Transmax DexIII Multi</v>
      </c>
      <c r="O1933" t="str">
        <f>""</f>
        <v/>
      </c>
      <c r="P1933" t="s">
        <v>1182</v>
      </c>
      <c r="Q1933" t="str">
        <f>""</f>
        <v/>
      </c>
      <c r="S1933" t="s">
        <v>1183</v>
      </c>
      <c r="U1933">
        <v>3069</v>
      </c>
      <c r="V1933" t="s">
        <v>1170</v>
      </c>
      <c r="W1933" t="s">
        <v>1171</v>
      </c>
      <c r="X1933" t="s">
        <v>1172</v>
      </c>
      <c r="Y1933" t="s">
        <v>1172</v>
      </c>
    </row>
    <row r="1934" spans="1:25">
      <c r="A1934">
        <v>13531</v>
      </c>
      <c r="B1934" t="s">
        <v>25</v>
      </c>
      <c r="C1934" t="str">
        <f t="shared" si="62"/>
        <v>INTEGRA Saloon</v>
      </c>
      <c r="D1934" t="str">
        <f t="shared" si="61"/>
        <v>1.6 i</v>
      </c>
      <c r="E1934" t="s">
        <v>26</v>
      </c>
      <c r="F1934">
        <v>198501</v>
      </c>
      <c r="G1934">
        <v>199012</v>
      </c>
      <c r="H1934">
        <v>88</v>
      </c>
      <c r="I1934">
        <v>120</v>
      </c>
      <c r="J1934">
        <v>1590</v>
      </c>
      <c r="K1934">
        <v>3634198</v>
      </c>
      <c r="L1934" t="s">
        <v>1184</v>
      </c>
      <c r="M1934" t="str">
        <f>"VTATF2D"</f>
        <v>VTATF2D</v>
      </c>
      <c r="N1934" t="str">
        <f>"VTATF2D"</f>
        <v>VTATF2D</v>
      </c>
      <c r="O1934" t="str">
        <f>""</f>
        <v/>
      </c>
      <c r="P1934" t="s">
        <v>1168</v>
      </c>
      <c r="Q1934" t="str">
        <f>""</f>
        <v/>
      </c>
      <c r="S1934" t="s">
        <v>1175</v>
      </c>
      <c r="U1934">
        <v>3069</v>
      </c>
      <c r="V1934" t="s">
        <v>1170</v>
      </c>
      <c r="W1934" t="s">
        <v>1171</v>
      </c>
      <c r="X1934" t="s">
        <v>1172</v>
      </c>
      <c r="Y1934" t="s">
        <v>1172</v>
      </c>
    </row>
    <row r="1935" spans="1:25">
      <c r="A1935">
        <v>13531</v>
      </c>
      <c r="B1935" t="s">
        <v>25</v>
      </c>
      <c r="C1935" t="str">
        <f t="shared" si="62"/>
        <v>INTEGRA Saloon</v>
      </c>
      <c r="D1935" t="str">
        <f t="shared" si="61"/>
        <v>1.6 i</v>
      </c>
      <c r="E1935" t="s">
        <v>26</v>
      </c>
      <c r="F1935">
        <v>198501</v>
      </c>
      <c r="G1935">
        <v>199012</v>
      </c>
      <c r="H1935">
        <v>88</v>
      </c>
      <c r="I1935">
        <v>120</v>
      </c>
      <c r="J1935">
        <v>1590</v>
      </c>
      <c r="K1935">
        <v>3748585</v>
      </c>
      <c r="L1935" t="s">
        <v>1185</v>
      </c>
      <c r="M1935" t="str">
        <f>"E113650"</f>
        <v>E113650</v>
      </c>
      <c r="N1935" t="str">
        <f>"E113650"</f>
        <v>E113650</v>
      </c>
      <c r="O1935" t="str">
        <f>""</f>
        <v/>
      </c>
      <c r="P1935" t="s">
        <v>1186</v>
      </c>
      <c r="Q1935" t="str">
        <f>""</f>
        <v/>
      </c>
      <c r="S1935" t="s">
        <v>1175</v>
      </c>
      <c r="U1935">
        <v>3069</v>
      </c>
      <c r="V1935" t="s">
        <v>1170</v>
      </c>
      <c r="W1935" t="s">
        <v>1171</v>
      </c>
      <c r="X1935" t="s">
        <v>1172</v>
      </c>
      <c r="Y1935" t="s">
        <v>1172</v>
      </c>
    </row>
    <row r="1936" spans="1:25">
      <c r="A1936">
        <v>13531</v>
      </c>
      <c r="B1936" t="s">
        <v>25</v>
      </c>
      <c r="C1936" t="str">
        <f t="shared" si="62"/>
        <v>INTEGRA Saloon</v>
      </c>
      <c r="D1936" t="str">
        <f t="shared" si="61"/>
        <v>1.6 i</v>
      </c>
      <c r="E1936" t="s">
        <v>26</v>
      </c>
      <c r="F1936">
        <v>198501</v>
      </c>
      <c r="G1936">
        <v>199012</v>
      </c>
      <c r="H1936">
        <v>88</v>
      </c>
      <c r="I1936">
        <v>120</v>
      </c>
      <c r="J1936">
        <v>1590</v>
      </c>
      <c r="K1936">
        <v>3748607</v>
      </c>
      <c r="L1936" t="s">
        <v>1185</v>
      </c>
      <c r="M1936" t="str">
        <f>"E113659"</f>
        <v>E113659</v>
      </c>
      <c r="N1936" t="str">
        <f>"E113659"</f>
        <v>E113659</v>
      </c>
      <c r="O1936" t="str">
        <f>""</f>
        <v/>
      </c>
      <c r="P1936" t="s">
        <v>1179</v>
      </c>
      <c r="Q1936" t="str">
        <f>""</f>
        <v/>
      </c>
      <c r="S1936" t="s">
        <v>1175</v>
      </c>
      <c r="U1936">
        <v>3069</v>
      </c>
      <c r="V1936" t="s">
        <v>1170</v>
      </c>
      <c r="W1936" t="s">
        <v>1171</v>
      </c>
      <c r="X1936" t="s">
        <v>1172</v>
      </c>
      <c r="Y1936" t="s">
        <v>1172</v>
      </c>
    </row>
    <row r="1937" spans="1:25">
      <c r="A1937">
        <v>13531</v>
      </c>
      <c r="B1937" t="s">
        <v>25</v>
      </c>
      <c r="C1937" t="str">
        <f t="shared" si="62"/>
        <v>INTEGRA Saloon</v>
      </c>
      <c r="D1937" t="str">
        <f t="shared" si="61"/>
        <v>1.6 i</v>
      </c>
      <c r="E1937" t="s">
        <v>26</v>
      </c>
      <c r="F1937">
        <v>198501</v>
      </c>
      <c r="G1937">
        <v>199012</v>
      </c>
      <c r="H1937">
        <v>88</v>
      </c>
      <c r="I1937">
        <v>120</v>
      </c>
      <c r="J1937">
        <v>1590</v>
      </c>
      <c r="K1937">
        <v>3748629</v>
      </c>
      <c r="L1937" t="s">
        <v>1185</v>
      </c>
      <c r="M1937" t="str">
        <f>"E113665"</f>
        <v>E113665</v>
      </c>
      <c r="N1937" t="str">
        <f>"E113665"</f>
        <v>E113665</v>
      </c>
      <c r="O1937" t="str">
        <f>""</f>
        <v/>
      </c>
      <c r="P1937" t="s">
        <v>1179</v>
      </c>
      <c r="Q1937" t="str">
        <f>""</f>
        <v/>
      </c>
      <c r="S1937" t="s">
        <v>1175</v>
      </c>
      <c r="U1937">
        <v>3069</v>
      </c>
      <c r="V1937" t="s">
        <v>1170</v>
      </c>
      <c r="W1937" t="s">
        <v>1171</v>
      </c>
      <c r="X1937" t="s">
        <v>1172</v>
      </c>
      <c r="Y1937" t="s">
        <v>1172</v>
      </c>
    </row>
    <row r="1938" spans="1:25">
      <c r="A1938">
        <v>13531</v>
      </c>
      <c r="B1938" t="s">
        <v>25</v>
      </c>
      <c r="C1938" t="str">
        <f t="shared" si="62"/>
        <v>INTEGRA Saloon</v>
      </c>
      <c r="D1938" t="str">
        <f t="shared" si="61"/>
        <v>1.6 i</v>
      </c>
      <c r="E1938" t="s">
        <v>26</v>
      </c>
      <c r="F1938">
        <v>198501</v>
      </c>
      <c r="G1938">
        <v>199012</v>
      </c>
      <c r="H1938">
        <v>88</v>
      </c>
      <c r="I1938">
        <v>120</v>
      </c>
      <c r="J1938">
        <v>1590</v>
      </c>
      <c r="K1938">
        <v>3920257</v>
      </c>
      <c r="L1938" t="s">
        <v>1187</v>
      </c>
      <c r="M1938" t="str">
        <f>"26800"</f>
        <v>26800</v>
      </c>
      <c r="N1938" t="str">
        <f>"26800"</f>
        <v>26800</v>
      </c>
      <c r="O1938" t="str">
        <f>""</f>
        <v/>
      </c>
      <c r="P1938" t="s">
        <v>1188</v>
      </c>
      <c r="Q1938" t="str">
        <f>""</f>
        <v/>
      </c>
      <c r="S1938" t="s">
        <v>1189</v>
      </c>
      <c r="U1938">
        <v>3069</v>
      </c>
      <c r="V1938" t="s">
        <v>1170</v>
      </c>
      <c r="W1938" t="s">
        <v>1171</v>
      </c>
      <c r="X1938" t="s">
        <v>1172</v>
      </c>
      <c r="Y1938" t="s">
        <v>1172</v>
      </c>
    </row>
    <row r="1939" spans="1:25">
      <c r="A1939">
        <v>13531</v>
      </c>
      <c r="B1939" t="s">
        <v>25</v>
      </c>
      <c r="C1939" t="str">
        <f t="shared" si="62"/>
        <v>INTEGRA Saloon</v>
      </c>
      <c r="D1939" t="str">
        <f t="shared" si="61"/>
        <v>1.6 i</v>
      </c>
      <c r="E1939" t="s">
        <v>26</v>
      </c>
      <c r="F1939">
        <v>198501</v>
      </c>
      <c r="G1939">
        <v>199012</v>
      </c>
      <c r="H1939">
        <v>88</v>
      </c>
      <c r="I1939">
        <v>120</v>
      </c>
      <c r="J1939">
        <v>1590</v>
      </c>
      <c r="K1939">
        <v>4084783</v>
      </c>
      <c r="L1939" t="s">
        <v>1190</v>
      </c>
      <c r="M1939" t="str">
        <f>"1211109"</f>
        <v>1211109</v>
      </c>
      <c r="N1939" t="str">
        <f>"1211109"</f>
        <v>1211109</v>
      </c>
      <c r="O1939" t="str">
        <f>""</f>
        <v/>
      </c>
      <c r="P1939" t="s">
        <v>1191</v>
      </c>
      <c r="Q1939" t="str">
        <f>""</f>
        <v/>
      </c>
      <c r="R1939" t="s">
        <v>1192</v>
      </c>
      <c r="S1939" t="s">
        <v>1193</v>
      </c>
      <c r="T1939" t="s">
        <v>1194</v>
      </c>
      <c r="U1939">
        <v>3069</v>
      </c>
      <c r="V1939" t="s">
        <v>1170</v>
      </c>
      <c r="W1939" t="s">
        <v>1171</v>
      </c>
      <c r="X1939" t="s">
        <v>1172</v>
      </c>
      <c r="Y1939" t="s">
        <v>1172</v>
      </c>
    </row>
    <row r="1940" spans="1:25">
      <c r="A1940">
        <v>13531</v>
      </c>
      <c r="B1940" t="s">
        <v>25</v>
      </c>
      <c r="C1940" t="str">
        <f t="shared" si="62"/>
        <v>INTEGRA Saloon</v>
      </c>
      <c r="D1940" t="str">
        <f t="shared" si="61"/>
        <v>1.6 i</v>
      </c>
      <c r="E1940" t="s">
        <v>26</v>
      </c>
      <c r="F1940">
        <v>198501</v>
      </c>
      <c r="G1940">
        <v>199012</v>
      </c>
      <c r="H1940">
        <v>88</v>
      </c>
      <c r="I1940">
        <v>120</v>
      </c>
      <c r="J1940">
        <v>1590</v>
      </c>
      <c r="K1940">
        <v>747446</v>
      </c>
      <c r="L1940" t="s">
        <v>1167</v>
      </c>
      <c r="M1940" t="str">
        <f>"LEICHTLAUF10W40"</f>
        <v>LEICHTLAUF10W40</v>
      </c>
      <c r="N1940" t="str">
        <f>"LEICHTLAUF 10W40"</f>
        <v>LEICHTLAUF 10W40</v>
      </c>
      <c r="O1940" t="str">
        <f>""</f>
        <v/>
      </c>
      <c r="P1940" t="s">
        <v>1195</v>
      </c>
      <c r="Q1940" t="str">
        <f>""</f>
        <v/>
      </c>
      <c r="S1940" t="s">
        <v>1616</v>
      </c>
      <c r="U1940">
        <v>3224</v>
      </c>
      <c r="V1940" t="s">
        <v>72</v>
      </c>
      <c r="W1940" t="s">
        <v>1171</v>
      </c>
      <c r="X1940" t="s">
        <v>71</v>
      </c>
      <c r="Y1940" t="s">
        <v>1197</v>
      </c>
    </row>
    <row r="1941" spans="1:25">
      <c r="A1941">
        <v>13531</v>
      </c>
      <c r="B1941" t="s">
        <v>25</v>
      </c>
      <c r="C1941" t="str">
        <f t="shared" si="62"/>
        <v>INTEGRA Saloon</v>
      </c>
      <c r="D1941" t="str">
        <f t="shared" si="61"/>
        <v>1.6 i</v>
      </c>
      <c r="E1941" t="s">
        <v>26</v>
      </c>
      <c r="F1941">
        <v>198501</v>
      </c>
      <c r="G1941">
        <v>199012</v>
      </c>
      <c r="H1941">
        <v>88</v>
      </c>
      <c r="I1941">
        <v>120</v>
      </c>
      <c r="J1941">
        <v>1590</v>
      </c>
      <c r="K1941">
        <v>747451</v>
      </c>
      <c r="L1941" t="s">
        <v>1167</v>
      </c>
      <c r="M1941" t="str">
        <f>"MOS2LEICHTL10W40"</f>
        <v>MOS2LEICHTL10W40</v>
      </c>
      <c r="N1941" t="str">
        <f>"MoS2 LEICHTL. 10W40"</f>
        <v>MoS2 LEICHTL. 10W40</v>
      </c>
      <c r="O1941" t="str">
        <f>""</f>
        <v/>
      </c>
      <c r="P1941" t="s">
        <v>1195</v>
      </c>
      <c r="Q1941" t="str">
        <f>""</f>
        <v/>
      </c>
      <c r="S1941" t="s">
        <v>1616</v>
      </c>
      <c r="U1941">
        <v>3224</v>
      </c>
      <c r="V1941" t="s">
        <v>72</v>
      </c>
      <c r="W1941" t="s">
        <v>1171</v>
      </c>
      <c r="X1941" t="s">
        <v>71</v>
      </c>
      <c r="Y1941" t="s">
        <v>1197</v>
      </c>
    </row>
    <row r="1942" spans="1:25">
      <c r="A1942">
        <v>13531</v>
      </c>
      <c r="B1942" t="s">
        <v>25</v>
      </c>
      <c r="C1942" t="str">
        <f t="shared" si="62"/>
        <v>INTEGRA Saloon</v>
      </c>
      <c r="D1942" t="str">
        <f t="shared" si="61"/>
        <v>1.6 i</v>
      </c>
      <c r="E1942" t="s">
        <v>26</v>
      </c>
      <c r="F1942">
        <v>198501</v>
      </c>
      <c r="G1942">
        <v>199012</v>
      </c>
      <c r="H1942">
        <v>88</v>
      </c>
      <c r="I1942">
        <v>120</v>
      </c>
      <c r="J1942">
        <v>1590</v>
      </c>
      <c r="K1942">
        <v>747452</v>
      </c>
      <c r="L1942" t="s">
        <v>1167</v>
      </c>
      <c r="M1942" t="str">
        <f>"NOVASUPER10W40"</f>
        <v>NOVASUPER10W40</v>
      </c>
      <c r="N1942" t="str">
        <f>"NOVA SUPER 10W40"</f>
        <v>NOVA SUPER 10W40</v>
      </c>
      <c r="O1942" t="str">
        <f>""</f>
        <v/>
      </c>
      <c r="P1942" t="s">
        <v>1195</v>
      </c>
      <c r="Q1942" t="str">
        <f>""</f>
        <v/>
      </c>
      <c r="S1942" t="s">
        <v>1616</v>
      </c>
      <c r="U1942">
        <v>3224</v>
      </c>
      <c r="V1942" t="s">
        <v>72</v>
      </c>
      <c r="W1942" t="s">
        <v>1171</v>
      </c>
      <c r="X1942" t="s">
        <v>71</v>
      </c>
      <c r="Y1942" t="s">
        <v>1197</v>
      </c>
    </row>
    <row r="1943" spans="1:25">
      <c r="A1943">
        <v>13531</v>
      </c>
      <c r="B1943" t="s">
        <v>25</v>
      </c>
      <c r="C1943" t="str">
        <f t="shared" si="62"/>
        <v>INTEGRA Saloon</v>
      </c>
      <c r="D1943" t="str">
        <f t="shared" si="61"/>
        <v>1.6 i</v>
      </c>
      <c r="E1943" t="s">
        <v>26</v>
      </c>
      <c r="F1943">
        <v>198501</v>
      </c>
      <c r="G1943">
        <v>199012</v>
      </c>
      <c r="H1943">
        <v>88</v>
      </c>
      <c r="I1943">
        <v>120</v>
      </c>
      <c r="J1943">
        <v>1590</v>
      </c>
      <c r="K1943">
        <v>747453</v>
      </c>
      <c r="L1943" t="s">
        <v>1167</v>
      </c>
      <c r="M1943" t="str">
        <f>"NOVASUPER15W40"</f>
        <v>NOVASUPER15W40</v>
      </c>
      <c r="N1943" t="str">
        <f>"NOVA SUPER 15W40"</f>
        <v>NOVA SUPER 15W40</v>
      </c>
      <c r="O1943" t="str">
        <f>""</f>
        <v/>
      </c>
      <c r="P1943" t="s">
        <v>1195</v>
      </c>
      <c r="Q1943" t="str">
        <f>""</f>
        <v/>
      </c>
      <c r="S1943" t="s">
        <v>1616</v>
      </c>
      <c r="U1943">
        <v>3224</v>
      </c>
      <c r="V1943" t="s">
        <v>72</v>
      </c>
      <c r="W1943" t="s">
        <v>1171</v>
      </c>
      <c r="X1943" t="s">
        <v>71</v>
      </c>
      <c r="Y1943" t="s">
        <v>1197</v>
      </c>
    </row>
    <row r="1944" spans="1:25">
      <c r="A1944">
        <v>13531</v>
      </c>
      <c r="B1944" t="s">
        <v>25</v>
      </c>
      <c r="C1944" t="str">
        <f t="shared" si="62"/>
        <v>INTEGRA Saloon</v>
      </c>
      <c r="D1944" t="str">
        <f t="shared" si="61"/>
        <v>1.6 i</v>
      </c>
      <c r="E1944" t="s">
        <v>26</v>
      </c>
      <c r="F1944">
        <v>198501</v>
      </c>
      <c r="G1944">
        <v>199012</v>
      </c>
      <c r="H1944">
        <v>88</v>
      </c>
      <c r="I1944">
        <v>120</v>
      </c>
      <c r="J1944">
        <v>1590</v>
      </c>
      <c r="K1944">
        <v>747454</v>
      </c>
      <c r="L1944" t="s">
        <v>1167</v>
      </c>
      <c r="M1944" t="str">
        <f>"NOVASUPER20W50"</f>
        <v>NOVASUPER20W50</v>
      </c>
      <c r="N1944" t="str">
        <f>"NOVA SUPER 20W50"</f>
        <v>NOVA SUPER 20W50</v>
      </c>
      <c r="O1944" t="str">
        <f>""</f>
        <v/>
      </c>
      <c r="P1944" t="s">
        <v>1195</v>
      </c>
      <c r="Q1944" t="str">
        <f>""</f>
        <v/>
      </c>
      <c r="S1944" t="s">
        <v>1616</v>
      </c>
      <c r="U1944">
        <v>3224</v>
      </c>
      <c r="V1944" t="s">
        <v>72</v>
      </c>
      <c r="W1944" t="s">
        <v>1171</v>
      </c>
      <c r="X1944" t="s">
        <v>71</v>
      </c>
      <c r="Y1944" t="s">
        <v>1197</v>
      </c>
    </row>
    <row r="1945" spans="1:25">
      <c r="A1945">
        <v>13531</v>
      </c>
      <c r="B1945" t="s">
        <v>25</v>
      </c>
      <c r="C1945" t="str">
        <f t="shared" si="62"/>
        <v>INTEGRA Saloon</v>
      </c>
      <c r="D1945" t="str">
        <f t="shared" si="61"/>
        <v>1.6 i</v>
      </c>
      <c r="E1945" t="s">
        <v>26</v>
      </c>
      <c r="F1945">
        <v>198501</v>
      </c>
      <c r="G1945">
        <v>199012</v>
      </c>
      <c r="H1945">
        <v>88</v>
      </c>
      <c r="I1945">
        <v>120</v>
      </c>
      <c r="J1945">
        <v>1590</v>
      </c>
      <c r="K1945">
        <v>747458</v>
      </c>
      <c r="L1945" t="s">
        <v>1167</v>
      </c>
      <c r="M1945" t="str">
        <f>"SUPERLEICHTL10W40"</f>
        <v>SUPERLEICHTL10W40</v>
      </c>
      <c r="N1945" t="str">
        <f>"SUPER LEICHTL. 10W40"</f>
        <v>SUPER LEICHTL. 10W40</v>
      </c>
      <c r="O1945" t="str">
        <f>""</f>
        <v/>
      </c>
      <c r="P1945" t="s">
        <v>1195</v>
      </c>
      <c r="Q1945" t="str">
        <f>""</f>
        <v/>
      </c>
      <c r="S1945" t="s">
        <v>1616</v>
      </c>
      <c r="U1945">
        <v>3224</v>
      </c>
      <c r="V1945" t="s">
        <v>72</v>
      </c>
      <c r="W1945" t="s">
        <v>1171</v>
      </c>
      <c r="X1945" t="s">
        <v>71</v>
      </c>
      <c r="Y1945" t="s">
        <v>1197</v>
      </c>
    </row>
    <row r="1946" spans="1:25">
      <c r="A1946">
        <v>13531</v>
      </c>
      <c r="B1946" t="s">
        <v>25</v>
      </c>
      <c r="C1946" t="str">
        <f t="shared" si="62"/>
        <v>INTEGRA Saloon</v>
      </c>
      <c r="D1946" t="str">
        <f t="shared" si="61"/>
        <v>1.6 i</v>
      </c>
      <c r="E1946" t="s">
        <v>26</v>
      </c>
      <c r="F1946">
        <v>198501</v>
      </c>
      <c r="G1946">
        <v>199012</v>
      </c>
      <c r="H1946">
        <v>88</v>
      </c>
      <c r="I1946">
        <v>120</v>
      </c>
      <c r="J1946">
        <v>1590</v>
      </c>
      <c r="K1946">
        <v>747462</v>
      </c>
      <c r="L1946" t="s">
        <v>1167</v>
      </c>
      <c r="M1946" t="str">
        <f>"SYNTHOILHT5W40"</f>
        <v>SYNTHOILHT5W40</v>
      </c>
      <c r="N1946" t="str">
        <f>"SYNTHOIL HT 5W40"</f>
        <v>SYNTHOIL HT 5W40</v>
      </c>
      <c r="O1946" t="str">
        <f>""</f>
        <v/>
      </c>
      <c r="P1946" t="s">
        <v>1195</v>
      </c>
      <c r="Q1946" t="str">
        <f>""</f>
        <v/>
      </c>
      <c r="S1946" t="s">
        <v>1616</v>
      </c>
      <c r="U1946">
        <v>3224</v>
      </c>
      <c r="V1946" t="s">
        <v>72</v>
      </c>
      <c r="W1946" t="s">
        <v>1171</v>
      </c>
      <c r="X1946" t="s">
        <v>71</v>
      </c>
      <c r="Y1946" t="s">
        <v>1197</v>
      </c>
    </row>
    <row r="1947" spans="1:25">
      <c r="A1947">
        <v>13531</v>
      </c>
      <c r="B1947" t="s">
        <v>25</v>
      </c>
      <c r="C1947" t="str">
        <f t="shared" si="62"/>
        <v>INTEGRA Saloon</v>
      </c>
      <c r="D1947" t="str">
        <f t="shared" si="61"/>
        <v>1.6 i</v>
      </c>
      <c r="E1947" t="s">
        <v>26</v>
      </c>
      <c r="F1947">
        <v>198501</v>
      </c>
      <c r="G1947">
        <v>199012</v>
      </c>
      <c r="H1947">
        <v>88</v>
      </c>
      <c r="I1947">
        <v>120</v>
      </c>
      <c r="J1947">
        <v>1590</v>
      </c>
      <c r="K1947">
        <v>747465</v>
      </c>
      <c r="L1947" t="s">
        <v>1167</v>
      </c>
      <c r="M1947" t="str">
        <f>"TOPTEC41005W40"</f>
        <v>TOPTEC41005W40</v>
      </c>
      <c r="N1947" t="str">
        <f>"TOP TEC 4100 5W40"</f>
        <v>TOP TEC 4100 5W40</v>
      </c>
      <c r="O1947" t="str">
        <f>""</f>
        <v/>
      </c>
      <c r="P1947" t="s">
        <v>1195</v>
      </c>
      <c r="Q1947" t="str">
        <f>""</f>
        <v/>
      </c>
      <c r="S1947" t="s">
        <v>1616</v>
      </c>
      <c r="U1947">
        <v>3224</v>
      </c>
      <c r="V1947" t="s">
        <v>72</v>
      </c>
      <c r="W1947" t="s">
        <v>1171</v>
      </c>
      <c r="X1947" t="s">
        <v>71</v>
      </c>
      <c r="Y1947" t="s">
        <v>1197</v>
      </c>
    </row>
    <row r="1948" spans="1:25">
      <c r="A1948">
        <v>13531</v>
      </c>
      <c r="B1948" t="s">
        <v>25</v>
      </c>
      <c r="C1948" t="str">
        <f t="shared" si="62"/>
        <v>INTEGRA Saloon</v>
      </c>
      <c r="D1948" t="str">
        <f t="shared" si="61"/>
        <v>1.6 i</v>
      </c>
      <c r="E1948" t="s">
        <v>26</v>
      </c>
      <c r="F1948">
        <v>198501</v>
      </c>
      <c r="G1948">
        <v>199012</v>
      </c>
      <c r="H1948">
        <v>88</v>
      </c>
      <c r="I1948">
        <v>120</v>
      </c>
      <c r="J1948">
        <v>1590</v>
      </c>
      <c r="K1948">
        <v>747477</v>
      </c>
      <c r="L1948" t="s">
        <v>1167</v>
      </c>
      <c r="M1948" t="str">
        <f>"TOURINGHT10W30"</f>
        <v>TOURINGHT10W30</v>
      </c>
      <c r="N1948" t="str">
        <f>"TOURING HT 10W30"</f>
        <v>TOURING HT 10W30</v>
      </c>
      <c r="O1948" t="str">
        <f>""</f>
        <v/>
      </c>
      <c r="P1948" t="s">
        <v>1195</v>
      </c>
      <c r="Q1948" t="str">
        <f>""</f>
        <v/>
      </c>
      <c r="S1948" t="s">
        <v>1616</v>
      </c>
      <c r="U1948">
        <v>3224</v>
      </c>
      <c r="V1948" t="s">
        <v>72</v>
      </c>
      <c r="W1948" t="s">
        <v>1171</v>
      </c>
      <c r="X1948" t="s">
        <v>71</v>
      </c>
      <c r="Y1948" t="s">
        <v>1197</v>
      </c>
    </row>
    <row r="1949" spans="1:25">
      <c r="A1949">
        <v>13531</v>
      </c>
      <c r="B1949" t="s">
        <v>25</v>
      </c>
      <c r="C1949" t="str">
        <f t="shared" si="62"/>
        <v>INTEGRA Saloon</v>
      </c>
      <c r="D1949" t="str">
        <f t="shared" si="61"/>
        <v>1.6 i</v>
      </c>
      <c r="E1949" t="s">
        <v>26</v>
      </c>
      <c r="F1949">
        <v>198501</v>
      </c>
      <c r="G1949">
        <v>199012</v>
      </c>
      <c r="H1949">
        <v>88</v>
      </c>
      <c r="I1949">
        <v>120</v>
      </c>
      <c r="J1949">
        <v>1590</v>
      </c>
      <c r="K1949">
        <v>747479</v>
      </c>
      <c r="L1949" t="s">
        <v>1167</v>
      </c>
      <c r="M1949" t="str">
        <f>"TOURINGHT20W50"</f>
        <v>TOURINGHT20W50</v>
      </c>
      <c r="N1949" t="str">
        <f>"TOURING HT 20W50"</f>
        <v>TOURING HT 20W50</v>
      </c>
      <c r="O1949" t="str">
        <f>""</f>
        <v/>
      </c>
      <c r="P1949" t="s">
        <v>1195</v>
      </c>
      <c r="Q1949" t="str">
        <f>""</f>
        <v/>
      </c>
      <c r="S1949" t="s">
        <v>1616</v>
      </c>
      <c r="U1949">
        <v>3224</v>
      </c>
      <c r="V1949" t="s">
        <v>72</v>
      </c>
      <c r="W1949" t="s">
        <v>1171</v>
      </c>
      <c r="X1949" t="s">
        <v>71</v>
      </c>
      <c r="Y1949" t="s">
        <v>1197</v>
      </c>
    </row>
    <row r="1950" spans="1:25">
      <c r="A1950">
        <v>13531</v>
      </c>
      <c r="B1950" t="s">
        <v>25</v>
      </c>
      <c r="C1950" t="str">
        <f t="shared" si="62"/>
        <v>INTEGRA Saloon</v>
      </c>
      <c r="D1950" t="str">
        <f t="shared" si="61"/>
        <v>1.6 i</v>
      </c>
      <c r="E1950" t="s">
        <v>26</v>
      </c>
      <c r="F1950">
        <v>198501</v>
      </c>
      <c r="G1950">
        <v>199012</v>
      </c>
      <c r="H1950">
        <v>88</v>
      </c>
      <c r="I1950">
        <v>120</v>
      </c>
      <c r="J1950">
        <v>1590</v>
      </c>
      <c r="K1950">
        <v>750286</v>
      </c>
      <c r="L1950" t="s">
        <v>1173</v>
      </c>
      <c r="M1950" t="str">
        <f>"HIGHTRONICM5W40"</f>
        <v>HIGHTRONICM5W40</v>
      </c>
      <c r="N1950" t="str">
        <f>"HighTronic M 5W-40"</f>
        <v>HighTronic M 5W-40</v>
      </c>
      <c r="O1950" t="str">
        <f>""</f>
        <v/>
      </c>
      <c r="P1950" t="s">
        <v>1198</v>
      </c>
      <c r="Q1950" t="str">
        <f>""</f>
        <v/>
      </c>
      <c r="S1950" t="s">
        <v>1617</v>
      </c>
      <c r="U1950">
        <v>3224</v>
      </c>
      <c r="V1950" t="s">
        <v>72</v>
      </c>
      <c r="W1950" t="s">
        <v>1171</v>
      </c>
      <c r="X1950" t="s">
        <v>71</v>
      </c>
      <c r="Y1950" t="s">
        <v>1197</v>
      </c>
    </row>
    <row r="1951" spans="1:25">
      <c r="A1951">
        <v>13531</v>
      </c>
      <c r="B1951" t="s">
        <v>25</v>
      </c>
      <c r="C1951" t="str">
        <f t="shared" si="62"/>
        <v>INTEGRA Saloon</v>
      </c>
      <c r="D1951" t="str">
        <f t="shared" si="61"/>
        <v>1.6 i</v>
      </c>
      <c r="E1951" t="s">
        <v>26</v>
      </c>
      <c r="F1951">
        <v>198501</v>
      </c>
      <c r="G1951">
        <v>199012</v>
      </c>
      <c r="H1951">
        <v>88</v>
      </c>
      <c r="I1951">
        <v>120</v>
      </c>
      <c r="J1951">
        <v>1590</v>
      </c>
      <c r="K1951">
        <v>750298</v>
      </c>
      <c r="L1951" t="s">
        <v>1173</v>
      </c>
      <c r="M1951" t="str">
        <f>"TRONIC15W40"</f>
        <v>TRONIC15W40</v>
      </c>
      <c r="N1951" t="str">
        <f>"Tronic 15W-40"</f>
        <v>Tronic 15W-40</v>
      </c>
      <c r="O1951" t="str">
        <f>""</f>
        <v/>
      </c>
      <c r="P1951" t="s">
        <v>1198</v>
      </c>
      <c r="Q1951" t="str">
        <f>""</f>
        <v/>
      </c>
      <c r="S1951" t="s">
        <v>1617</v>
      </c>
      <c r="U1951">
        <v>3224</v>
      </c>
      <c r="V1951" t="s">
        <v>72</v>
      </c>
      <c r="W1951" t="s">
        <v>1171</v>
      </c>
      <c r="X1951" t="s">
        <v>71</v>
      </c>
      <c r="Y1951" t="s">
        <v>1197</v>
      </c>
    </row>
    <row r="1952" spans="1:25">
      <c r="A1952">
        <v>13531</v>
      </c>
      <c r="B1952" t="s">
        <v>25</v>
      </c>
      <c r="C1952" t="str">
        <f t="shared" si="62"/>
        <v>INTEGRA Saloon</v>
      </c>
      <c r="D1952" t="str">
        <f t="shared" si="61"/>
        <v>1.6 i</v>
      </c>
      <c r="E1952" t="s">
        <v>26</v>
      </c>
      <c r="F1952">
        <v>198501</v>
      </c>
      <c r="G1952">
        <v>199012</v>
      </c>
      <c r="H1952">
        <v>88</v>
      </c>
      <c r="I1952">
        <v>120</v>
      </c>
      <c r="J1952">
        <v>1590</v>
      </c>
      <c r="K1952">
        <v>877843</v>
      </c>
      <c r="L1952" t="s">
        <v>1176</v>
      </c>
      <c r="M1952" t="str">
        <f>"49520"</f>
        <v>49520</v>
      </c>
      <c r="N1952" t="str">
        <f>"49520"</f>
        <v>49520</v>
      </c>
      <c r="O1952" t="str">
        <f>""</f>
        <v/>
      </c>
      <c r="P1952" t="s">
        <v>72</v>
      </c>
      <c r="Q1952" t="str">
        <f>""</f>
        <v/>
      </c>
      <c r="S1952" t="s">
        <v>1617</v>
      </c>
      <c r="U1952">
        <v>3224</v>
      </c>
      <c r="V1952" t="s">
        <v>72</v>
      </c>
      <c r="W1952" t="s">
        <v>1171</v>
      </c>
      <c r="X1952" t="s">
        <v>71</v>
      </c>
      <c r="Y1952" t="s">
        <v>1197</v>
      </c>
    </row>
    <row r="1953" spans="1:25">
      <c r="A1953">
        <v>13531</v>
      </c>
      <c r="B1953" t="s">
        <v>25</v>
      </c>
      <c r="C1953" t="str">
        <f t="shared" si="62"/>
        <v>INTEGRA Saloon</v>
      </c>
      <c r="D1953" t="str">
        <f t="shared" si="61"/>
        <v>1.6 i</v>
      </c>
      <c r="E1953" t="s">
        <v>26</v>
      </c>
      <c r="F1953">
        <v>198501</v>
      </c>
      <c r="G1953">
        <v>199012</v>
      </c>
      <c r="H1953">
        <v>88</v>
      </c>
      <c r="I1953">
        <v>120</v>
      </c>
      <c r="J1953">
        <v>1590</v>
      </c>
      <c r="K1953">
        <v>877856</v>
      </c>
      <c r="L1953" t="s">
        <v>1176</v>
      </c>
      <c r="M1953" t="str">
        <f>"49540"</f>
        <v>49540</v>
      </c>
      <c r="N1953" t="str">
        <f>"49540"</f>
        <v>49540</v>
      </c>
      <c r="O1953" t="str">
        <f>""</f>
        <v/>
      </c>
      <c r="P1953" t="s">
        <v>72</v>
      </c>
      <c r="Q1953" t="str">
        <f>""</f>
        <v/>
      </c>
      <c r="S1953" t="s">
        <v>1617</v>
      </c>
      <c r="U1953">
        <v>3224</v>
      </c>
      <c r="V1953" t="s">
        <v>72</v>
      </c>
      <c r="W1953" t="s">
        <v>1171</v>
      </c>
      <c r="X1953" t="s">
        <v>71</v>
      </c>
      <c r="Y1953" t="s">
        <v>1197</v>
      </c>
    </row>
    <row r="1954" spans="1:25">
      <c r="A1954">
        <v>13531</v>
      </c>
      <c r="B1954" t="s">
        <v>25</v>
      </c>
      <c r="C1954" t="str">
        <f t="shared" si="62"/>
        <v>INTEGRA Saloon</v>
      </c>
      <c r="D1954" t="str">
        <f t="shared" si="61"/>
        <v>1.6 i</v>
      </c>
      <c r="E1954" t="s">
        <v>26</v>
      </c>
      <c r="F1954">
        <v>198501</v>
      </c>
      <c r="G1954">
        <v>199012</v>
      </c>
      <c r="H1954">
        <v>88</v>
      </c>
      <c r="I1954">
        <v>120</v>
      </c>
      <c r="J1954">
        <v>1590</v>
      </c>
      <c r="K1954">
        <v>877864</v>
      </c>
      <c r="L1954" t="s">
        <v>1176</v>
      </c>
      <c r="M1954" t="str">
        <f>"49610"</f>
        <v>49610</v>
      </c>
      <c r="N1954" t="str">
        <f>"49610"</f>
        <v>49610</v>
      </c>
      <c r="O1954" t="str">
        <f>""</f>
        <v/>
      </c>
      <c r="P1954" t="s">
        <v>72</v>
      </c>
      <c r="Q1954" t="str">
        <f>""</f>
        <v/>
      </c>
      <c r="S1954" t="s">
        <v>1617</v>
      </c>
      <c r="U1954">
        <v>3224</v>
      </c>
      <c r="V1954" t="s">
        <v>72</v>
      </c>
      <c r="W1954" t="s">
        <v>1171</v>
      </c>
      <c r="X1954" t="s">
        <v>71</v>
      </c>
      <c r="Y1954" t="s">
        <v>1197</v>
      </c>
    </row>
    <row r="1955" spans="1:25">
      <c r="A1955">
        <v>13531</v>
      </c>
      <c r="B1955" t="s">
        <v>25</v>
      </c>
      <c r="C1955" t="str">
        <f t="shared" si="62"/>
        <v>INTEGRA Saloon</v>
      </c>
      <c r="D1955" t="str">
        <f t="shared" si="61"/>
        <v>1.6 i</v>
      </c>
      <c r="E1955" t="s">
        <v>26</v>
      </c>
      <c r="F1955">
        <v>198501</v>
      </c>
      <c r="G1955">
        <v>199012</v>
      </c>
      <c r="H1955">
        <v>88</v>
      </c>
      <c r="I1955">
        <v>120</v>
      </c>
      <c r="J1955">
        <v>1590</v>
      </c>
      <c r="K1955">
        <v>877870</v>
      </c>
      <c r="L1955" t="s">
        <v>1176</v>
      </c>
      <c r="M1955" t="str">
        <f>"49623"</f>
        <v>49623</v>
      </c>
      <c r="N1955" t="str">
        <f>"49623"</f>
        <v>49623</v>
      </c>
      <c r="O1955" t="str">
        <f>""</f>
        <v/>
      </c>
      <c r="P1955" t="s">
        <v>72</v>
      </c>
      <c r="Q1955" t="str">
        <f>""</f>
        <v/>
      </c>
      <c r="S1955" t="s">
        <v>1617</v>
      </c>
      <c r="U1955">
        <v>3224</v>
      </c>
      <c r="V1955" t="s">
        <v>72</v>
      </c>
      <c r="W1955" t="s">
        <v>1171</v>
      </c>
      <c r="X1955" t="s">
        <v>71</v>
      </c>
      <c r="Y1955" t="s">
        <v>1197</v>
      </c>
    </row>
    <row r="1956" spans="1:25">
      <c r="A1956">
        <v>13531</v>
      </c>
      <c r="B1956" t="s">
        <v>25</v>
      </c>
      <c r="C1956" t="str">
        <f t="shared" si="62"/>
        <v>INTEGRA Saloon</v>
      </c>
      <c r="D1956" t="str">
        <f t="shared" si="61"/>
        <v>1.6 i</v>
      </c>
      <c r="E1956" t="s">
        <v>26</v>
      </c>
      <c r="F1956">
        <v>198501</v>
      </c>
      <c r="G1956">
        <v>199012</v>
      </c>
      <c r="H1956">
        <v>88</v>
      </c>
      <c r="I1956">
        <v>120</v>
      </c>
      <c r="J1956">
        <v>1590</v>
      </c>
      <c r="K1956">
        <v>877877</v>
      </c>
      <c r="L1956" t="s">
        <v>1176</v>
      </c>
      <c r="M1956" t="str">
        <f>"49624"</f>
        <v>49624</v>
      </c>
      <c r="N1956" t="str">
        <f>"49624"</f>
        <v>49624</v>
      </c>
      <c r="O1956" t="str">
        <f>""</f>
        <v/>
      </c>
      <c r="P1956" t="s">
        <v>72</v>
      </c>
      <c r="Q1956" t="str">
        <f>""</f>
        <v/>
      </c>
      <c r="S1956" t="s">
        <v>1617</v>
      </c>
      <c r="U1956">
        <v>3224</v>
      </c>
      <c r="V1956" t="s">
        <v>72</v>
      </c>
      <c r="W1956" t="s">
        <v>1171</v>
      </c>
      <c r="X1956" t="s">
        <v>71</v>
      </c>
      <c r="Y1956" t="s">
        <v>1197</v>
      </c>
    </row>
    <row r="1957" spans="1:25">
      <c r="A1957">
        <v>13531</v>
      </c>
      <c r="B1957" t="s">
        <v>25</v>
      </c>
      <c r="C1957" t="str">
        <f t="shared" si="62"/>
        <v>INTEGRA Saloon</v>
      </c>
      <c r="D1957" t="str">
        <f t="shared" si="61"/>
        <v>1.6 i</v>
      </c>
      <c r="E1957" t="s">
        <v>26</v>
      </c>
      <c r="F1957">
        <v>198501</v>
      </c>
      <c r="G1957">
        <v>199012</v>
      </c>
      <c r="H1957">
        <v>88</v>
      </c>
      <c r="I1957">
        <v>120</v>
      </c>
      <c r="J1957">
        <v>1590</v>
      </c>
      <c r="K1957">
        <v>877884</v>
      </c>
      <c r="L1957" t="s">
        <v>1176</v>
      </c>
      <c r="M1957" t="str">
        <f>"49632"</f>
        <v>49632</v>
      </c>
      <c r="N1957" t="str">
        <f>"49632"</f>
        <v>49632</v>
      </c>
      <c r="O1957" t="str">
        <f>""</f>
        <v/>
      </c>
      <c r="P1957" t="s">
        <v>72</v>
      </c>
      <c r="Q1957" t="str">
        <f>""</f>
        <v/>
      </c>
      <c r="S1957" t="s">
        <v>1617</v>
      </c>
      <c r="U1957">
        <v>3224</v>
      </c>
      <c r="V1957" t="s">
        <v>72</v>
      </c>
      <c r="W1957" t="s">
        <v>1171</v>
      </c>
      <c r="X1957" t="s">
        <v>71</v>
      </c>
      <c r="Y1957" t="s">
        <v>1197</v>
      </c>
    </row>
    <row r="1958" spans="1:25">
      <c r="A1958">
        <v>13531</v>
      </c>
      <c r="B1958" t="s">
        <v>25</v>
      </c>
      <c r="C1958" t="str">
        <f t="shared" si="62"/>
        <v>INTEGRA Saloon</v>
      </c>
      <c r="D1958" t="str">
        <f t="shared" si="61"/>
        <v>1.6 i</v>
      </c>
      <c r="E1958" t="s">
        <v>26</v>
      </c>
      <c r="F1958">
        <v>198501</v>
      </c>
      <c r="G1958">
        <v>199012</v>
      </c>
      <c r="H1958">
        <v>88</v>
      </c>
      <c r="I1958">
        <v>120</v>
      </c>
      <c r="J1958">
        <v>1590</v>
      </c>
      <c r="K1958">
        <v>877890</v>
      </c>
      <c r="L1958" t="s">
        <v>1176</v>
      </c>
      <c r="M1958" t="str">
        <f>"49640"</f>
        <v>49640</v>
      </c>
      <c r="N1958" t="str">
        <f>"49640"</f>
        <v>49640</v>
      </c>
      <c r="O1958" t="str">
        <f>""</f>
        <v/>
      </c>
      <c r="P1958" t="s">
        <v>72</v>
      </c>
      <c r="Q1958" t="str">
        <f>""</f>
        <v/>
      </c>
      <c r="S1958" t="s">
        <v>1617</v>
      </c>
      <c r="U1958">
        <v>3224</v>
      </c>
      <c r="V1958" t="s">
        <v>72</v>
      </c>
      <c r="W1958" t="s">
        <v>1171</v>
      </c>
      <c r="X1958" t="s">
        <v>71</v>
      </c>
      <c r="Y1958" t="s">
        <v>1197</v>
      </c>
    </row>
    <row r="1959" spans="1:25">
      <c r="A1959">
        <v>13531</v>
      </c>
      <c r="B1959" t="s">
        <v>25</v>
      </c>
      <c r="C1959" t="str">
        <f t="shared" si="62"/>
        <v>INTEGRA Saloon</v>
      </c>
      <c r="D1959" t="str">
        <f t="shared" si="61"/>
        <v>1.6 i</v>
      </c>
      <c r="E1959" t="s">
        <v>26</v>
      </c>
      <c r="F1959">
        <v>198501</v>
      </c>
      <c r="G1959">
        <v>199012</v>
      </c>
      <c r="H1959">
        <v>88</v>
      </c>
      <c r="I1959">
        <v>120</v>
      </c>
      <c r="J1959">
        <v>1590</v>
      </c>
      <c r="K1959">
        <v>877905</v>
      </c>
      <c r="L1959" t="s">
        <v>1176</v>
      </c>
      <c r="M1959" t="str">
        <f>"49700"</f>
        <v>49700</v>
      </c>
      <c r="N1959" t="str">
        <f>"49700"</f>
        <v>49700</v>
      </c>
      <c r="O1959" t="str">
        <f>""</f>
        <v/>
      </c>
      <c r="P1959" t="s">
        <v>72</v>
      </c>
      <c r="Q1959" t="str">
        <f>""</f>
        <v/>
      </c>
      <c r="S1959" t="s">
        <v>1617</v>
      </c>
      <c r="U1959">
        <v>3224</v>
      </c>
      <c r="V1959" t="s">
        <v>72</v>
      </c>
      <c r="W1959" t="s">
        <v>1171</v>
      </c>
      <c r="X1959" t="s">
        <v>71</v>
      </c>
      <c r="Y1959" t="s">
        <v>1197</v>
      </c>
    </row>
    <row r="1960" spans="1:25">
      <c r="A1960">
        <v>13531</v>
      </c>
      <c r="B1960" t="s">
        <v>25</v>
      </c>
      <c r="C1960" t="str">
        <f t="shared" si="62"/>
        <v>INTEGRA Saloon</v>
      </c>
      <c r="D1960" t="str">
        <f t="shared" si="61"/>
        <v>1.6 i</v>
      </c>
      <c r="E1960" t="s">
        <v>26</v>
      </c>
      <c r="F1960">
        <v>198501</v>
      </c>
      <c r="G1960">
        <v>199012</v>
      </c>
      <c r="H1960">
        <v>88</v>
      </c>
      <c r="I1960">
        <v>120</v>
      </c>
      <c r="J1960">
        <v>1590</v>
      </c>
      <c r="K1960">
        <v>877917</v>
      </c>
      <c r="L1960" t="s">
        <v>1176</v>
      </c>
      <c r="M1960" t="str">
        <f>"49720"</f>
        <v>49720</v>
      </c>
      <c r="N1960" t="str">
        <f>"49720"</f>
        <v>49720</v>
      </c>
      <c r="O1960" t="str">
        <f>""</f>
        <v/>
      </c>
      <c r="P1960" t="s">
        <v>72</v>
      </c>
      <c r="Q1960" t="str">
        <f>""</f>
        <v/>
      </c>
      <c r="S1960" t="s">
        <v>1617</v>
      </c>
      <c r="U1960">
        <v>3224</v>
      </c>
      <c r="V1960" t="s">
        <v>72</v>
      </c>
      <c r="W1960" t="s">
        <v>1171</v>
      </c>
      <c r="X1960" t="s">
        <v>71</v>
      </c>
      <c r="Y1960" t="s">
        <v>1197</v>
      </c>
    </row>
    <row r="1961" spans="1:25">
      <c r="A1961">
        <v>13531</v>
      </c>
      <c r="B1961" t="s">
        <v>25</v>
      </c>
      <c r="C1961" t="str">
        <f t="shared" si="62"/>
        <v>INTEGRA Saloon</v>
      </c>
      <c r="D1961" t="str">
        <f t="shared" si="61"/>
        <v>1.6 i</v>
      </c>
      <c r="E1961" t="s">
        <v>26</v>
      </c>
      <c r="F1961">
        <v>198501</v>
      </c>
      <c r="G1961">
        <v>199012</v>
      </c>
      <c r="H1961">
        <v>88</v>
      </c>
      <c r="I1961">
        <v>120</v>
      </c>
      <c r="J1961">
        <v>1590</v>
      </c>
      <c r="K1961">
        <v>878251</v>
      </c>
      <c r="L1961" t="s">
        <v>1176</v>
      </c>
      <c r="M1961" t="str">
        <f>"48470"</f>
        <v>48470</v>
      </c>
      <c r="N1961" t="str">
        <f>"48470"</f>
        <v>48470</v>
      </c>
      <c r="O1961" t="str">
        <f>""</f>
        <v/>
      </c>
      <c r="P1961" t="s">
        <v>72</v>
      </c>
      <c r="Q1961" t="str">
        <f>""</f>
        <v/>
      </c>
      <c r="S1961" t="s">
        <v>1617</v>
      </c>
      <c r="U1961">
        <v>3224</v>
      </c>
      <c r="V1961" t="s">
        <v>72</v>
      </c>
      <c r="W1961" t="s">
        <v>1171</v>
      </c>
      <c r="X1961" t="s">
        <v>71</v>
      </c>
      <c r="Y1961" t="s">
        <v>1197</v>
      </c>
    </row>
    <row r="1962" spans="1:25">
      <c r="A1962">
        <v>13531</v>
      </c>
      <c r="B1962" t="s">
        <v>25</v>
      </c>
      <c r="C1962" t="str">
        <f t="shared" si="62"/>
        <v>INTEGRA Saloon</v>
      </c>
      <c r="D1962" t="str">
        <f t="shared" si="61"/>
        <v>1.6 i</v>
      </c>
      <c r="E1962" t="s">
        <v>26</v>
      </c>
      <c r="F1962">
        <v>198501</v>
      </c>
      <c r="G1962">
        <v>199012</v>
      </c>
      <c r="H1962">
        <v>88</v>
      </c>
      <c r="I1962">
        <v>120</v>
      </c>
      <c r="J1962">
        <v>1590</v>
      </c>
      <c r="K1962">
        <v>878475</v>
      </c>
      <c r="L1962" t="s">
        <v>1176</v>
      </c>
      <c r="M1962" t="str">
        <f>"49340"</f>
        <v>49340</v>
      </c>
      <c r="N1962" t="str">
        <f>"49340"</f>
        <v>49340</v>
      </c>
      <c r="O1962" t="str">
        <f>""</f>
        <v/>
      </c>
      <c r="P1962" t="s">
        <v>72</v>
      </c>
      <c r="Q1962" t="str">
        <f>""</f>
        <v/>
      </c>
      <c r="S1962" t="s">
        <v>1617</v>
      </c>
      <c r="U1962">
        <v>3224</v>
      </c>
      <c r="V1962" t="s">
        <v>72</v>
      </c>
      <c r="W1962" t="s">
        <v>1171</v>
      </c>
      <c r="X1962" t="s">
        <v>71</v>
      </c>
      <c r="Y1962" t="s">
        <v>1197</v>
      </c>
    </row>
    <row r="1963" spans="1:25">
      <c r="A1963">
        <v>13531</v>
      </c>
      <c r="B1963" t="s">
        <v>25</v>
      </c>
      <c r="C1963" t="str">
        <f t="shared" si="62"/>
        <v>INTEGRA Saloon</v>
      </c>
      <c r="D1963" t="str">
        <f t="shared" si="61"/>
        <v>1.6 i</v>
      </c>
      <c r="E1963" t="s">
        <v>26</v>
      </c>
      <c r="F1963">
        <v>198501</v>
      </c>
      <c r="G1963">
        <v>199012</v>
      </c>
      <c r="H1963">
        <v>88</v>
      </c>
      <c r="I1963">
        <v>120</v>
      </c>
      <c r="J1963">
        <v>1590</v>
      </c>
      <c r="K1963">
        <v>878508</v>
      </c>
      <c r="L1963" t="s">
        <v>1176</v>
      </c>
      <c r="M1963" t="str">
        <f>"49421"</f>
        <v>49421</v>
      </c>
      <c r="N1963" t="str">
        <f>"49421"</f>
        <v>49421</v>
      </c>
      <c r="O1963" t="str">
        <f>""</f>
        <v/>
      </c>
      <c r="P1963" t="s">
        <v>72</v>
      </c>
      <c r="Q1963" t="str">
        <f>""</f>
        <v/>
      </c>
      <c r="S1963" t="s">
        <v>1617</v>
      </c>
      <c r="U1963">
        <v>3224</v>
      </c>
      <c r="V1963" t="s">
        <v>72</v>
      </c>
      <c r="W1963" t="s">
        <v>1171</v>
      </c>
      <c r="X1963" t="s">
        <v>71</v>
      </c>
      <c r="Y1963" t="s">
        <v>1197</v>
      </c>
    </row>
    <row r="1964" spans="1:25">
      <c r="A1964">
        <v>13531</v>
      </c>
      <c r="B1964" t="s">
        <v>25</v>
      </c>
      <c r="C1964" t="str">
        <f t="shared" si="62"/>
        <v>INTEGRA Saloon</v>
      </c>
      <c r="D1964" t="str">
        <f t="shared" si="61"/>
        <v>1.6 i</v>
      </c>
      <c r="E1964" t="s">
        <v>26</v>
      </c>
      <c r="F1964">
        <v>198501</v>
      </c>
      <c r="G1964">
        <v>199012</v>
      </c>
      <c r="H1964">
        <v>88</v>
      </c>
      <c r="I1964">
        <v>120</v>
      </c>
      <c r="J1964">
        <v>1590</v>
      </c>
      <c r="K1964">
        <v>2738675</v>
      </c>
      <c r="L1964" t="s">
        <v>1177</v>
      </c>
      <c r="M1964" t="str">
        <f>"1336"</f>
        <v>1336</v>
      </c>
      <c r="N1964" t="str">
        <f>"1336"</f>
        <v>1336</v>
      </c>
      <c r="O1964" t="str">
        <f>""</f>
        <v/>
      </c>
      <c r="P1964" t="s">
        <v>1200</v>
      </c>
      <c r="Q1964" t="str">
        <f>""</f>
        <v/>
      </c>
      <c r="S1964" t="s">
        <v>1617</v>
      </c>
      <c r="U1964">
        <v>3224</v>
      </c>
      <c r="V1964" t="s">
        <v>72</v>
      </c>
      <c r="W1964" t="s">
        <v>1171</v>
      </c>
      <c r="X1964" t="s">
        <v>71</v>
      </c>
      <c r="Y1964" t="s">
        <v>1197</v>
      </c>
    </row>
    <row r="1965" spans="1:25">
      <c r="A1965">
        <v>13531</v>
      </c>
      <c r="B1965" t="s">
        <v>25</v>
      </c>
      <c r="C1965" t="str">
        <f t="shared" si="62"/>
        <v>INTEGRA Saloon</v>
      </c>
      <c r="D1965" t="str">
        <f t="shared" si="61"/>
        <v>1.6 i</v>
      </c>
      <c r="E1965" t="s">
        <v>26</v>
      </c>
      <c r="F1965">
        <v>198501</v>
      </c>
      <c r="G1965">
        <v>199012</v>
      </c>
      <c r="H1965">
        <v>88</v>
      </c>
      <c r="I1965">
        <v>120</v>
      </c>
      <c r="J1965">
        <v>1590</v>
      </c>
      <c r="K1965">
        <v>2738676</v>
      </c>
      <c r="L1965" t="s">
        <v>1177</v>
      </c>
      <c r="M1965" t="str">
        <f>"1347"</f>
        <v>1347</v>
      </c>
      <c r="N1965" t="str">
        <f>"1347"</f>
        <v>1347</v>
      </c>
      <c r="O1965" t="str">
        <f>""</f>
        <v/>
      </c>
      <c r="P1965" t="s">
        <v>1200</v>
      </c>
      <c r="Q1965" t="str">
        <f>""</f>
        <v/>
      </c>
      <c r="S1965" t="s">
        <v>1617</v>
      </c>
      <c r="U1965">
        <v>3224</v>
      </c>
      <c r="V1965" t="s">
        <v>72</v>
      </c>
      <c r="W1965" t="s">
        <v>1171</v>
      </c>
      <c r="X1965" t="s">
        <v>71</v>
      </c>
      <c r="Y1965" t="s">
        <v>1197</v>
      </c>
    </row>
    <row r="1966" spans="1:25">
      <c r="A1966">
        <v>13531</v>
      </c>
      <c r="B1966" t="s">
        <v>25</v>
      </c>
      <c r="C1966" t="str">
        <f t="shared" si="62"/>
        <v>INTEGRA Saloon</v>
      </c>
      <c r="D1966" t="str">
        <f t="shared" si="61"/>
        <v>1.6 i</v>
      </c>
      <c r="E1966" t="s">
        <v>26</v>
      </c>
      <c r="F1966">
        <v>198501</v>
      </c>
      <c r="G1966">
        <v>199012</v>
      </c>
      <c r="H1966">
        <v>88</v>
      </c>
      <c r="I1966">
        <v>120</v>
      </c>
      <c r="J1966">
        <v>1590</v>
      </c>
      <c r="K1966">
        <v>2739441</v>
      </c>
      <c r="L1966" t="s">
        <v>1180</v>
      </c>
      <c r="M1966" t="str">
        <f>"1336"</f>
        <v>1336</v>
      </c>
      <c r="N1966" t="str">
        <f>"1336"</f>
        <v>1336</v>
      </c>
      <c r="O1966" t="str">
        <f>""</f>
        <v/>
      </c>
      <c r="P1966" t="s">
        <v>1200</v>
      </c>
      <c r="Q1966" t="str">
        <f>""</f>
        <v/>
      </c>
      <c r="S1966" t="s">
        <v>1617</v>
      </c>
      <c r="U1966">
        <v>3224</v>
      </c>
      <c r="V1966" t="s">
        <v>72</v>
      </c>
      <c r="W1966" t="s">
        <v>1171</v>
      </c>
      <c r="X1966" t="s">
        <v>71</v>
      </c>
      <c r="Y1966" t="s">
        <v>1197</v>
      </c>
    </row>
    <row r="1967" spans="1:25">
      <c r="A1967">
        <v>13531</v>
      </c>
      <c r="B1967" t="s">
        <v>25</v>
      </c>
      <c r="C1967" t="str">
        <f t="shared" si="62"/>
        <v>INTEGRA Saloon</v>
      </c>
      <c r="D1967" t="str">
        <f t="shared" si="61"/>
        <v>1.6 i</v>
      </c>
      <c r="E1967" t="s">
        <v>26</v>
      </c>
      <c r="F1967">
        <v>198501</v>
      </c>
      <c r="G1967">
        <v>199012</v>
      </c>
      <c r="H1967">
        <v>88</v>
      </c>
      <c r="I1967">
        <v>120</v>
      </c>
      <c r="J1967">
        <v>1590</v>
      </c>
      <c r="K1967">
        <v>2739442</v>
      </c>
      <c r="L1967" t="s">
        <v>1180</v>
      </c>
      <c r="M1967" t="str">
        <f>"1347"</f>
        <v>1347</v>
      </c>
      <c r="N1967" t="str">
        <f>"1347"</f>
        <v>1347</v>
      </c>
      <c r="O1967" t="str">
        <f>""</f>
        <v/>
      </c>
      <c r="P1967" t="s">
        <v>1200</v>
      </c>
      <c r="Q1967" t="str">
        <f>""</f>
        <v/>
      </c>
      <c r="S1967" t="s">
        <v>1617</v>
      </c>
      <c r="U1967">
        <v>3224</v>
      </c>
      <c r="V1967" t="s">
        <v>72</v>
      </c>
      <c r="W1967" t="s">
        <v>1171</v>
      </c>
      <c r="X1967" t="s">
        <v>71</v>
      </c>
      <c r="Y1967" t="s">
        <v>1197</v>
      </c>
    </row>
    <row r="1968" spans="1:25">
      <c r="A1968">
        <v>13531</v>
      </c>
      <c r="B1968" t="s">
        <v>25</v>
      </c>
      <c r="C1968" t="str">
        <f t="shared" si="62"/>
        <v>INTEGRA Saloon</v>
      </c>
      <c r="D1968" t="str">
        <f t="shared" si="61"/>
        <v>1.6 i</v>
      </c>
      <c r="E1968" t="s">
        <v>26</v>
      </c>
      <c r="F1968">
        <v>198501</v>
      </c>
      <c r="G1968">
        <v>199012</v>
      </c>
      <c r="H1968">
        <v>88</v>
      </c>
      <c r="I1968">
        <v>120</v>
      </c>
      <c r="J1968">
        <v>1590</v>
      </c>
      <c r="K1968">
        <v>2740208</v>
      </c>
      <c r="L1968" t="s">
        <v>1180</v>
      </c>
      <c r="M1968" t="str">
        <f>"836"</f>
        <v>836</v>
      </c>
      <c r="N1968" t="str">
        <f>"836"</f>
        <v>836</v>
      </c>
      <c r="O1968" t="str">
        <f>""</f>
        <v/>
      </c>
      <c r="P1968" t="s">
        <v>1200</v>
      </c>
      <c r="Q1968" t="str">
        <f>""</f>
        <v/>
      </c>
      <c r="S1968" t="s">
        <v>1617</v>
      </c>
      <c r="U1968">
        <v>3224</v>
      </c>
      <c r="V1968" t="s">
        <v>72</v>
      </c>
      <c r="W1968" t="s">
        <v>1171</v>
      </c>
      <c r="X1968" t="s">
        <v>71</v>
      </c>
      <c r="Y1968" t="s">
        <v>1197</v>
      </c>
    </row>
    <row r="1969" spans="1:25">
      <c r="A1969">
        <v>13531</v>
      </c>
      <c r="B1969" t="s">
        <v>25</v>
      </c>
      <c r="C1969" t="str">
        <f t="shared" si="62"/>
        <v>INTEGRA Saloon</v>
      </c>
      <c r="D1969" t="str">
        <f t="shared" si="61"/>
        <v>1.6 i</v>
      </c>
      <c r="E1969" t="s">
        <v>26</v>
      </c>
      <c r="F1969">
        <v>198501</v>
      </c>
      <c r="G1969">
        <v>199012</v>
      </c>
      <c r="H1969">
        <v>88</v>
      </c>
      <c r="I1969">
        <v>120</v>
      </c>
      <c r="J1969">
        <v>1590</v>
      </c>
      <c r="K1969">
        <v>2740209</v>
      </c>
      <c r="L1969" t="s">
        <v>1180</v>
      </c>
      <c r="M1969" t="str">
        <f>"847"</f>
        <v>847</v>
      </c>
      <c r="N1969" t="str">
        <f>"847"</f>
        <v>847</v>
      </c>
      <c r="O1969" t="str">
        <f>""</f>
        <v/>
      </c>
      <c r="P1969" t="s">
        <v>1200</v>
      </c>
      <c r="Q1969" t="str">
        <f>""</f>
        <v/>
      </c>
      <c r="S1969" t="s">
        <v>1617</v>
      </c>
      <c r="U1969">
        <v>3224</v>
      </c>
      <c r="V1969" t="s">
        <v>72</v>
      </c>
      <c r="W1969" t="s">
        <v>1171</v>
      </c>
      <c r="X1969" t="s">
        <v>71</v>
      </c>
      <c r="Y1969" t="s">
        <v>1197</v>
      </c>
    </row>
    <row r="1970" spans="1:25">
      <c r="A1970">
        <v>13531</v>
      </c>
      <c r="B1970" t="s">
        <v>25</v>
      </c>
      <c r="C1970" t="str">
        <f t="shared" si="62"/>
        <v>INTEGRA Saloon</v>
      </c>
      <c r="D1970" t="str">
        <f t="shared" si="61"/>
        <v>1.6 i</v>
      </c>
      <c r="E1970" t="s">
        <v>26</v>
      </c>
      <c r="F1970">
        <v>198501</v>
      </c>
      <c r="G1970">
        <v>199012</v>
      </c>
      <c r="H1970">
        <v>88</v>
      </c>
      <c r="I1970">
        <v>120</v>
      </c>
      <c r="J1970">
        <v>1590</v>
      </c>
      <c r="K1970">
        <v>2861463</v>
      </c>
      <c r="L1970" t="s">
        <v>1181</v>
      </c>
      <c r="M1970" t="str">
        <f>"0078"</f>
        <v>0078</v>
      </c>
      <c r="N1970" t="str">
        <f>"0078"</f>
        <v>0078</v>
      </c>
      <c r="O1970" t="str">
        <f>""</f>
        <v/>
      </c>
      <c r="P1970" t="s">
        <v>1201</v>
      </c>
      <c r="Q1970" t="str">
        <f>""</f>
        <v/>
      </c>
      <c r="S1970" t="s">
        <v>1617</v>
      </c>
      <c r="U1970">
        <v>3224</v>
      </c>
      <c r="V1970" t="s">
        <v>72</v>
      </c>
      <c r="W1970" t="s">
        <v>1171</v>
      </c>
      <c r="X1970" t="s">
        <v>71</v>
      </c>
      <c r="Y1970" t="s">
        <v>1197</v>
      </c>
    </row>
    <row r="1971" spans="1:25">
      <c r="A1971">
        <v>13531</v>
      </c>
      <c r="B1971" t="s">
        <v>25</v>
      </c>
      <c r="C1971" t="str">
        <f t="shared" si="62"/>
        <v>INTEGRA Saloon</v>
      </c>
      <c r="D1971" t="str">
        <f t="shared" si="61"/>
        <v>1.6 i</v>
      </c>
      <c r="E1971" t="s">
        <v>26</v>
      </c>
      <c r="F1971">
        <v>198501</v>
      </c>
      <c r="G1971">
        <v>199012</v>
      </c>
      <c r="H1971">
        <v>88</v>
      </c>
      <c r="I1971">
        <v>120</v>
      </c>
      <c r="J1971">
        <v>1590</v>
      </c>
      <c r="K1971">
        <v>2861469</v>
      </c>
      <c r="L1971" t="s">
        <v>1181</v>
      </c>
      <c r="M1971" t="str">
        <f>"0080"</f>
        <v>0080</v>
      </c>
      <c r="N1971" t="str">
        <f>"0080"</f>
        <v>0080</v>
      </c>
      <c r="O1971" t="str">
        <f>""</f>
        <v/>
      </c>
      <c r="P1971" t="s">
        <v>1198</v>
      </c>
      <c r="Q1971" t="str">
        <f>""</f>
        <v/>
      </c>
      <c r="S1971" t="s">
        <v>1617</v>
      </c>
      <c r="U1971">
        <v>3224</v>
      </c>
      <c r="V1971" t="s">
        <v>72</v>
      </c>
      <c r="W1971" t="s">
        <v>1171</v>
      </c>
      <c r="X1971" t="s">
        <v>71</v>
      </c>
      <c r="Y1971" t="s">
        <v>1197</v>
      </c>
    </row>
    <row r="1972" spans="1:25">
      <c r="A1972">
        <v>13531</v>
      </c>
      <c r="B1972" t="s">
        <v>25</v>
      </c>
      <c r="C1972" t="str">
        <f t="shared" si="62"/>
        <v>INTEGRA Saloon</v>
      </c>
      <c r="D1972" t="str">
        <f t="shared" si="61"/>
        <v>1.6 i</v>
      </c>
      <c r="E1972" t="s">
        <v>26</v>
      </c>
      <c r="F1972">
        <v>198501</v>
      </c>
      <c r="G1972">
        <v>199012</v>
      </c>
      <c r="H1972">
        <v>88</v>
      </c>
      <c r="I1972">
        <v>120</v>
      </c>
      <c r="J1972">
        <v>1590</v>
      </c>
      <c r="K1972">
        <v>2861478</v>
      </c>
      <c r="L1972" t="s">
        <v>1181</v>
      </c>
      <c r="M1972" t="str">
        <f>"0082"</f>
        <v>0082</v>
      </c>
      <c r="N1972" t="str">
        <f>"0082"</f>
        <v>0082</v>
      </c>
      <c r="O1972" t="str">
        <f>""</f>
        <v/>
      </c>
      <c r="P1972" t="s">
        <v>1198</v>
      </c>
      <c r="Q1972" t="str">
        <f>""</f>
        <v/>
      </c>
      <c r="S1972" t="s">
        <v>1617</v>
      </c>
      <c r="U1972">
        <v>3224</v>
      </c>
      <c r="V1972" t="s">
        <v>72</v>
      </c>
      <c r="W1972" t="s">
        <v>1171</v>
      </c>
      <c r="X1972" t="s">
        <v>71</v>
      </c>
      <c r="Y1972" t="s">
        <v>1197</v>
      </c>
    </row>
    <row r="1973" spans="1:25">
      <c r="A1973">
        <v>13531</v>
      </c>
      <c r="B1973" t="s">
        <v>25</v>
      </c>
      <c r="C1973" t="str">
        <f t="shared" si="62"/>
        <v>INTEGRA Saloon</v>
      </c>
      <c r="D1973" t="str">
        <f t="shared" si="61"/>
        <v>1.6 i</v>
      </c>
      <c r="E1973" t="s">
        <v>26</v>
      </c>
      <c r="F1973">
        <v>198501</v>
      </c>
      <c r="G1973">
        <v>199012</v>
      </c>
      <c r="H1973">
        <v>88</v>
      </c>
      <c r="I1973">
        <v>120</v>
      </c>
      <c r="J1973">
        <v>1590</v>
      </c>
      <c r="K1973">
        <v>2861494</v>
      </c>
      <c r="L1973" t="s">
        <v>1181</v>
      </c>
      <c r="M1973" t="str">
        <f>"0161"</f>
        <v>0161</v>
      </c>
      <c r="N1973" t="str">
        <f>"0161"</f>
        <v>0161</v>
      </c>
      <c r="O1973" t="str">
        <f>""</f>
        <v/>
      </c>
      <c r="P1973" t="s">
        <v>1198</v>
      </c>
      <c r="Q1973" t="str">
        <f>""</f>
        <v/>
      </c>
      <c r="S1973" t="s">
        <v>1617</v>
      </c>
      <c r="U1973">
        <v>3224</v>
      </c>
      <c r="V1973" t="s">
        <v>72</v>
      </c>
      <c r="W1973" t="s">
        <v>1171</v>
      </c>
      <c r="X1973" t="s">
        <v>71</v>
      </c>
      <c r="Y1973" t="s">
        <v>1197</v>
      </c>
    </row>
    <row r="1974" spans="1:25">
      <c r="A1974">
        <v>13531</v>
      </c>
      <c r="B1974" t="s">
        <v>25</v>
      </c>
      <c r="C1974" t="str">
        <f t="shared" si="62"/>
        <v>INTEGRA Saloon</v>
      </c>
      <c r="D1974" t="str">
        <f t="shared" si="61"/>
        <v>1.6 i</v>
      </c>
      <c r="E1974" t="s">
        <v>26</v>
      </c>
      <c r="F1974">
        <v>198501</v>
      </c>
      <c r="G1974">
        <v>199012</v>
      </c>
      <c r="H1974">
        <v>88</v>
      </c>
      <c r="I1974">
        <v>120</v>
      </c>
      <c r="J1974">
        <v>1590</v>
      </c>
      <c r="K1974">
        <v>2861499</v>
      </c>
      <c r="L1974" t="s">
        <v>1181</v>
      </c>
      <c r="M1974" t="str">
        <f>"0183"</f>
        <v>0183</v>
      </c>
      <c r="N1974" t="str">
        <f>"0183"</f>
        <v>0183</v>
      </c>
      <c r="O1974" t="str">
        <f>""</f>
        <v/>
      </c>
      <c r="P1974" t="s">
        <v>1201</v>
      </c>
      <c r="Q1974" t="str">
        <f>""</f>
        <v/>
      </c>
      <c r="S1974" t="s">
        <v>1617</v>
      </c>
      <c r="U1974">
        <v>3224</v>
      </c>
      <c r="V1974" t="s">
        <v>72</v>
      </c>
      <c r="W1974" t="s">
        <v>1171</v>
      </c>
      <c r="X1974" t="s">
        <v>71</v>
      </c>
      <c r="Y1974" t="s">
        <v>1197</v>
      </c>
    </row>
    <row r="1975" spans="1:25">
      <c r="A1975">
        <v>13531</v>
      </c>
      <c r="B1975" t="s">
        <v>25</v>
      </c>
      <c r="C1975" t="str">
        <f t="shared" si="62"/>
        <v>INTEGRA Saloon</v>
      </c>
      <c r="D1975" t="str">
        <f t="shared" ref="D1975:D2038" si="63">"1.6 i"</f>
        <v>1.6 i</v>
      </c>
      <c r="E1975" t="s">
        <v>26</v>
      </c>
      <c r="F1975">
        <v>198501</v>
      </c>
      <c r="G1975">
        <v>199012</v>
      </c>
      <c r="H1975">
        <v>88</v>
      </c>
      <c r="I1975">
        <v>120</v>
      </c>
      <c r="J1975">
        <v>1590</v>
      </c>
      <c r="K1975">
        <v>2861664</v>
      </c>
      <c r="L1975" t="s">
        <v>1181</v>
      </c>
      <c r="M1975" t="str">
        <f>"1433"</f>
        <v>1433</v>
      </c>
      <c r="N1975" t="str">
        <f>"1433"</f>
        <v>1433</v>
      </c>
      <c r="O1975" t="str">
        <f>""</f>
        <v/>
      </c>
      <c r="P1975" t="s">
        <v>1202</v>
      </c>
      <c r="Q1975" t="str">
        <f>""</f>
        <v/>
      </c>
      <c r="S1975" t="s">
        <v>1617</v>
      </c>
      <c r="U1975">
        <v>3224</v>
      </c>
      <c r="V1975" t="s">
        <v>72</v>
      </c>
      <c r="W1975" t="s">
        <v>1171</v>
      </c>
      <c r="X1975" t="s">
        <v>71</v>
      </c>
      <c r="Y1975" t="s">
        <v>1197</v>
      </c>
    </row>
    <row r="1976" spans="1:25">
      <c r="A1976">
        <v>13531</v>
      </c>
      <c r="B1976" t="s">
        <v>25</v>
      </c>
      <c r="C1976" t="str">
        <f t="shared" si="62"/>
        <v>INTEGRA Saloon</v>
      </c>
      <c r="D1976" t="str">
        <f t="shared" si="63"/>
        <v>1.6 i</v>
      </c>
      <c r="E1976" t="s">
        <v>26</v>
      </c>
      <c r="F1976">
        <v>198501</v>
      </c>
      <c r="G1976">
        <v>199012</v>
      </c>
      <c r="H1976">
        <v>88</v>
      </c>
      <c r="I1976">
        <v>120</v>
      </c>
      <c r="J1976">
        <v>1590</v>
      </c>
      <c r="K1976">
        <v>2861985</v>
      </c>
      <c r="L1976" t="s">
        <v>1181</v>
      </c>
      <c r="M1976" t="str">
        <f>"GTXA3B315W40"</f>
        <v>GTXA3B315W40</v>
      </c>
      <c r="N1976" t="str">
        <f>"GTX A3/B3 15W-40"</f>
        <v>GTX A3/B3 15W-40</v>
      </c>
      <c r="O1976" t="str">
        <f>""</f>
        <v/>
      </c>
      <c r="P1976" t="s">
        <v>1203</v>
      </c>
      <c r="Q1976" t="str">
        <f>""</f>
        <v/>
      </c>
      <c r="S1976" t="s">
        <v>1618</v>
      </c>
      <c r="U1976">
        <v>3224</v>
      </c>
      <c r="V1976" t="s">
        <v>72</v>
      </c>
      <c r="W1976" t="s">
        <v>1171</v>
      </c>
      <c r="X1976" t="s">
        <v>71</v>
      </c>
      <c r="Y1976" t="s">
        <v>1197</v>
      </c>
    </row>
    <row r="1977" spans="1:25">
      <c r="A1977">
        <v>13531</v>
      </c>
      <c r="B1977" t="s">
        <v>25</v>
      </c>
      <c r="C1977" t="str">
        <f t="shared" si="62"/>
        <v>INTEGRA Saloon</v>
      </c>
      <c r="D1977" t="str">
        <f t="shared" si="63"/>
        <v>1.6 i</v>
      </c>
      <c r="E1977" t="s">
        <v>26</v>
      </c>
      <c r="F1977">
        <v>198501</v>
      </c>
      <c r="G1977">
        <v>199012</v>
      </c>
      <c r="H1977">
        <v>88</v>
      </c>
      <c r="I1977">
        <v>120</v>
      </c>
      <c r="J1977">
        <v>1590</v>
      </c>
      <c r="K1977">
        <v>2861992</v>
      </c>
      <c r="L1977" t="s">
        <v>1181</v>
      </c>
      <c r="M1977" t="str">
        <f>"MAGNATECA15W30"</f>
        <v>MAGNATECA15W30</v>
      </c>
      <c r="N1977" t="str">
        <f>"Magnatec A1 5W-30"</f>
        <v>Magnatec A1 5W-30</v>
      </c>
      <c r="O1977" t="str">
        <f>""</f>
        <v/>
      </c>
      <c r="P1977" t="s">
        <v>1203</v>
      </c>
      <c r="Q1977" t="str">
        <f>""</f>
        <v/>
      </c>
      <c r="S1977" t="s">
        <v>1618</v>
      </c>
      <c r="U1977">
        <v>3224</v>
      </c>
      <c r="V1977" t="s">
        <v>72</v>
      </c>
      <c r="W1977" t="s">
        <v>1171</v>
      </c>
      <c r="X1977" t="s">
        <v>71</v>
      </c>
      <c r="Y1977" t="s">
        <v>1197</v>
      </c>
    </row>
    <row r="1978" spans="1:25">
      <c r="A1978">
        <v>13531</v>
      </c>
      <c r="B1978" t="s">
        <v>25</v>
      </c>
      <c r="C1978" t="str">
        <f t="shared" si="62"/>
        <v>INTEGRA Saloon</v>
      </c>
      <c r="D1978" t="str">
        <f t="shared" si="63"/>
        <v>1.6 i</v>
      </c>
      <c r="E1978" t="s">
        <v>26</v>
      </c>
      <c r="F1978">
        <v>198501</v>
      </c>
      <c r="G1978">
        <v>199012</v>
      </c>
      <c r="H1978">
        <v>88</v>
      </c>
      <c r="I1978">
        <v>120</v>
      </c>
      <c r="J1978">
        <v>1590</v>
      </c>
      <c r="K1978">
        <v>2861993</v>
      </c>
      <c r="L1978" t="s">
        <v>1181</v>
      </c>
      <c r="M1978" t="str">
        <f>"MAGNATECA3B410W40"</f>
        <v>MAGNATECA3B410W40</v>
      </c>
      <c r="N1978" t="str">
        <f>"Magnatec A3/B4 10W-40"</f>
        <v>Magnatec A3/B4 10W-40</v>
      </c>
      <c r="O1978" t="str">
        <f>""</f>
        <v/>
      </c>
      <c r="P1978" t="s">
        <v>1203</v>
      </c>
      <c r="Q1978" t="str">
        <f>""</f>
        <v/>
      </c>
      <c r="S1978" t="s">
        <v>1618</v>
      </c>
      <c r="U1978">
        <v>3224</v>
      </c>
      <c r="V1978" t="s">
        <v>72</v>
      </c>
      <c r="W1978" t="s">
        <v>1171</v>
      </c>
      <c r="X1978" t="s">
        <v>71</v>
      </c>
      <c r="Y1978" t="s">
        <v>1197</v>
      </c>
    </row>
    <row r="1979" spans="1:25">
      <c r="A1979">
        <v>13531</v>
      </c>
      <c r="B1979" t="s">
        <v>25</v>
      </c>
      <c r="C1979" t="str">
        <f t="shared" si="62"/>
        <v>INTEGRA Saloon</v>
      </c>
      <c r="D1979" t="str">
        <f t="shared" si="63"/>
        <v>1.6 i</v>
      </c>
      <c r="E1979" t="s">
        <v>26</v>
      </c>
      <c r="F1979">
        <v>198501</v>
      </c>
      <c r="G1979">
        <v>199012</v>
      </c>
      <c r="H1979">
        <v>88</v>
      </c>
      <c r="I1979">
        <v>120</v>
      </c>
      <c r="J1979">
        <v>1590</v>
      </c>
      <c r="K1979">
        <v>3634230</v>
      </c>
      <c r="L1979" t="s">
        <v>1184</v>
      </c>
      <c r="M1979" t="str">
        <f>"VTSYNTECH10W40"</f>
        <v>VTSYNTECH10W40</v>
      </c>
      <c r="N1979" t="str">
        <f>"VTSYNTECH10W40"</f>
        <v>VTSYNTECH10W40</v>
      </c>
      <c r="O1979" t="str">
        <f>""</f>
        <v/>
      </c>
      <c r="P1979" t="s">
        <v>1195</v>
      </c>
      <c r="Q1979" t="str">
        <f>""</f>
        <v/>
      </c>
      <c r="S1979" t="s">
        <v>1617</v>
      </c>
      <c r="U1979">
        <v>3224</v>
      </c>
      <c r="V1979" t="s">
        <v>72</v>
      </c>
      <c r="W1979" t="s">
        <v>1171</v>
      </c>
      <c r="X1979" t="s">
        <v>71</v>
      </c>
      <c r="Y1979" t="s">
        <v>1197</v>
      </c>
    </row>
    <row r="1980" spans="1:25">
      <c r="A1980">
        <v>13531</v>
      </c>
      <c r="B1980" t="s">
        <v>25</v>
      </c>
      <c r="C1980" t="str">
        <f t="shared" si="62"/>
        <v>INTEGRA Saloon</v>
      </c>
      <c r="D1980" t="str">
        <f t="shared" si="63"/>
        <v>1.6 i</v>
      </c>
      <c r="E1980" t="s">
        <v>26</v>
      </c>
      <c r="F1980">
        <v>198501</v>
      </c>
      <c r="G1980">
        <v>199012</v>
      </c>
      <c r="H1980">
        <v>88</v>
      </c>
      <c r="I1980">
        <v>120</v>
      </c>
      <c r="J1980">
        <v>1590</v>
      </c>
      <c r="K1980">
        <v>3634249</v>
      </c>
      <c r="L1980" t="s">
        <v>1184</v>
      </c>
      <c r="M1980" t="str">
        <f>"VTTURBOPL15W40"</f>
        <v>VTTURBOPL15W40</v>
      </c>
      <c r="N1980" t="str">
        <f>"VTTURBOPL15W40"</f>
        <v>VTTURBOPL15W40</v>
      </c>
      <c r="O1980" t="str">
        <f>""</f>
        <v/>
      </c>
      <c r="P1980" t="s">
        <v>1195</v>
      </c>
      <c r="Q1980" t="str">
        <f>""</f>
        <v/>
      </c>
      <c r="S1980" t="s">
        <v>1617</v>
      </c>
      <c r="U1980">
        <v>3224</v>
      </c>
      <c r="V1980" t="s">
        <v>72</v>
      </c>
      <c r="W1980" t="s">
        <v>1171</v>
      </c>
      <c r="X1980" t="s">
        <v>71</v>
      </c>
      <c r="Y1980" t="s">
        <v>1197</v>
      </c>
    </row>
    <row r="1981" spans="1:25">
      <c r="A1981">
        <v>13531</v>
      </c>
      <c r="B1981" t="s">
        <v>25</v>
      </c>
      <c r="C1981" t="str">
        <f t="shared" si="62"/>
        <v>INTEGRA Saloon</v>
      </c>
      <c r="D1981" t="str">
        <f t="shared" si="63"/>
        <v>1.6 i</v>
      </c>
      <c r="E1981" t="s">
        <v>26</v>
      </c>
      <c r="F1981">
        <v>198501</v>
      </c>
      <c r="G1981">
        <v>199012</v>
      </c>
      <c r="H1981">
        <v>88</v>
      </c>
      <c r="I1981">
        <v>120</v>
      </c>
      <c r="J1981">
        <v>1590</v>
      </c>
      <c r="K1981">
        <v>3748202</v>
      </c>
      <c r="L1981" t="s">
        <v>1185</v>
      </c>
      <c r="M1981" t="str">
        <f>"E100010"</f>
        <v>E100010</v>
      </c>
      <c r="N1981" t="str">
        <f>"E100010"</f>
        <v>E100010</v>
      </c>
      <c r="O1981" t="str">
        <f>""</f>
        <v/>
      </c>
      <c r="P1981" t="s">
        <v>1205</v>
      </c>
      <c r="Q1981" t="str">
        <f>""</f>
        <v/>
      </c>
      <c r="S1981" t="s">
        <v>1619</v>
      </c>
      <c r="U1981">
        <v>3224</v>
      </c>
      <c r="V1981" t="s">
        <v>72</v>
      </c>
      <c r="W1981" t="s">
        <v>1171</v>
      </c>
      <c r="X1981" t="s">
        <v>71</v>
      </c>
      <c r="Y1981" t="s">
        <v>1197</v>
      </c>
    </row>
    <row r="1982" spans="1:25">
      <c r="A1982">
        <v>13531</v>
      </c>
      <c r="B1982" t="s">
        <v>25</v>
      </c>
      <c r="C1982" t="str">
        <f t="shared" si="62"/>
        <v>INTEGRA Saloon</v>
      </c>
      <c r="D1982" t="str">
        <f t="shared" si="63"/>
        <v>1.6 i</v>
      </c>
      <c r="E1982" t="s">
        <v>26</v>
      </c>
      <c r="F1982">
        <v>198501</v>
      </c>
      <c r="G1982">
        <v>199012</v>
      </c>
      <c r="H1982">
        <v>88</v>
      </c>
      <c r="I1982">
        <v>120</v>
      </c>
      <c r="J1982">
        <v>1590</v>
      </c>
      <c r="K1982">
        <v>3748207</v>
      </c>
      <c r="L1982" t="s">
        <v>1185</v>
      </c>
      <c r="M1982" t="str">
        <f>"E100020"</f>
        <v>E100020</v>
      </c>
      <c r="N1982" t="str">
        <f>"E100020"</f>
        <v>E100020</v>
      </c>
      <c r="O1982" t="str">
        <f>""</f>
        <v/>
      </c>
      <c r="P1982" t="s">
        <v>1200</v>
      </c>
      <c r="Q1982" t="str">
        <f>""</f>
        <v/>
      </c>
      <c r="S1982" t="s">
        <v>1619</v>
      </c>
      <c r="U1982">
        <v>3224</v>
      </c>
      <c r="V1982" t="s">
        <v>72</v>
      </c>
      <c r="W1982" t="s">
        <v>1171</v>
      </c>
      <c r="X1982" t="s">
        <v>71</v>
      </c>
      <c r="Y1982" t="s">
        <v>1197</v>
      </c>
    </row>
    <row r="1983" spans="1:25">
      <c r="A1983">
        <v>13531</v>
      </c>
      <c r="B1983" t="s">
        <v>25</v>
      </c>
      <c r="C1983" t="str">
        <f t="shared" si="62"/>
        <v>INTEGRA Saloon</v>
      </c>
      <c r="D1983" t="str">
        <f t="shared" si="63"/>
        <v>1.6 i</v>
      </c>
      <c r="E1983" t="s">
        <v>26</v>
      </c>
      <c r="F1983">
        <v>198501</v>
      </c>
      <c r="G1983">
        <v>199012</v>
      </c>
      <c r="H1983">
        <v>88</v>
      </c>
      <c r="I1983">
        <v>120</v>
      </c>
      <c r="J1983">
        <v>1590</v>
      </c>
      <c r="K1983">
        <v>3748240</v>
      </c>
      <c r="L1983" t="s">
        <v>1185</v>
      </c>
      <c r="M1983" t="str">
        <f>"E100045"</f>
        <v>E100045</v>
      </c>
      <c r="N1983" t="str">
        <f>"E100045"</f>
        <v>E100045</v>
      </c>
      <c r="O1983" t="str">
        <f>""</f>
        <v/>
      </c>
      <c r="P1983" t="s">
        <v>1200</v>
      </c>
      <c r="Q1983" t="str">
        <f>""</f>
        <v/>
      </c>
      <c r="S1983" t="s">
        <v>1617</v>
      </c>
      <c r="U1983">
        <v>3224</v>
      </c>
      <c r="V1983" t="s">
        <v>72</v>
      </c>
      <c r="W1983" t="s">
        <v>1171</v>
      </c>
      <c r="X1983" t="s">
        <v>71</v>
      </c>
      <c r="Y1983" t="s">
        <v>1197</v>
      </c>
    </row>
    <row r="1984" spans="1:25">
      <c r="A1984">
        <v>13531</v>
      </c>
      <c r="B1984" t="s">
        <v>25</v>
      </c>
      <c r="C1984" t="str">
        <f t="shared" si="62"/>
        <v>INTEGRA Saloon</v>
      </c>
      <c r="D1984" t="str">
        <f t="shared" si="63"/>
        <v>1.6 i</v>
      </c>
      <c r="E1984" t="s">
        <v>26</v>
      </c>
      <c r="F1984">
        <v>198501</v>
      </c>
      <c r="G1984">
        <v>199012</v>
      </c>
      <c r="H1984">
        <v>88</v>
      </c>
      <c r="I1984">
        <v>120</v>
      </c>
      <c r="J1984">
        <v>1590</v>
      </c>
      <c r="K1984">
        <v>3748367</v>
      </c>
      <c r="L1984" t="s">
        <v>1185</v>
      </c>
      <c r="M1984" t="str">
        <f>"E100096"</f>
        <v>E100096</v>
      </c>
      <c r="N1984" t="str">
        <f>"E100096"</f>
        <v>E100096</v>
      </c>
      <c r="O1984" t="str">
        <f>""</f>
        <v/>
      </c>
      <c r="P1984" t="s">
        <v>1207</v>
      </c>
      <c r="Q1984" t="str">
        <f>""</f>
        <v/>
      </c>
      <c r="S1984" t="s">
        <v>1619</v>
      </c>
      <c r="U1984">
        <v>3224</v>
      </c>
      <c r="V1984" t="s">
        <v>72</v>
      </c>
      <c r="W1984" t="s">
        <v>1171</v>
      </c>
      <c r="X1984" t="s">
        <v>71</v>
      </c>
      <c r="Y1984" t="s">
        <v>1197</v>
      </c>
    </row>
    <row r="1985" spans="1:25">
      <c r="A1985">
        <v>13531</v>
      </c>
      <c r="B1985" t="s">
        <v>25</v>
      </c>
      <c r="C1985" t="str">
        <f t="shared" si="62"/>
        <v>INTEGRA Saloon</v>
      </c>
      <c r="D1985" t="str">
        <f t="shared" si="63"/>
        <v>1.6 i</v>
      </c>
      <c r="E1985" t="s">
        <v>26</v>
      </c>
      <c r="F1985">
        <v>198501</v>
      </c>
      <c r="G1985">
        <v>199012</v>
      </c>
      <c r="H1985">
        <v>88</v>
      </c>
      <c r="I1985">
        <v>120</v>
      </c>
      <c r="J1985">
        <v>1590</v>
      </c>
      <c r="K1985">
        <v>3748406</v>
      </c>
      <c r="L1985" t="s">
        <v>1185</v>
      </c>
      <c r="M1985" t="str">
        <f>"E100125"</f>
        <v>E100125</v>
      </c>
      <c r="N1985" t="str">
        <f>"E100125"</f>
        <v>E100125</v>
      </c>
      <c r="O1985" t="str">
        <f>""</f>
        <v/>
      </c>
      <c r="P1985" t="s">
        <v>1207</v>
      </c>
      <c r="Q1985" t="str">
        <f>""</f>
        <v/>
      </c>
      <c r="S1985" t="s">
        <v>1619</v>
      </c>
      <c r="U1985">
        <v>3224</v>
      </c>
      <c r="V1985" t="s">
        <v>72</v>
      </c>
      <c r="W1985" t="s">
        <v>1171</v>
      </c>
      <c r="X1985" t="s">
        <v>71</v>
      </c>
      <c r="Y1985" t="s">
        <v>1197</v>
      </c>
    </row>
    <row r="1986" spans="1:25">
      <c r="A1986">
        <v>13531</v>
      </c>
      <c r="B1986" t="s">
        <v>25</v>
      </c>
      <c r="C1986" t="str">
        <f t="shared" ref="C1986:C2053" si="64">"INTEGRA Saloon"</f>
        <v>INTEGRA Saloon</v>
      </c>
      <c r="D1986" t="str">
        <f t="shared" si="63"/>
        <v>1.6 i</v>
      </c>
      <c r="E1986" t="s">
        <v>26</v>
      </c>
      <c r="F1986">
        <v>198501</v>
      </c>
      <c r="G1986">
        <v>199012</v>
      </c>
      <c r="H1986">
        <v>88</v>
      </c>
      <c r="I1986">
        <v>120</v>
      </c>
      <c r="J1986">
        <v>1590</v>
      </c>
      <c r="K1986">
        <v>3920221</v>
      </c>
      <c r="L1986" t="s">
        <v>1187</v>
      </c>
      <c r="M1986" t="str">
        <f>"11500"</f>
        <v>11500</v>
      </c>
      <c r="N1986" t="str">
        <f>"11500"</f>
        <v>11500</v>
      </c>
      <c r="O1986" t="str">
        <f>""</f>
        <v/>
      </c>
      <c r="P1986" t="s">
        <v>1198</v>
      </c>
      <c r="Q1986" t="str">
        <f>""</f>
        <v/>
      </c>
      <c r="S1986" t="s">
        <v>1620</v>
      </c>
      <c r="U1986">
        <v>3224</v>
      </c>
      <c r="V1986" t="s">
        <v>72</v>
      </c>
      <c r="W1986" t="s">
        <v>1171</v>
      </c>
      <c r="X1986" t="s">
        <v>71</v>
      </c>
      <c r="Y1986" t="s">
        <v>1197</v>
      </c>
    </row>
    <row r="1987" spans="1:25">
      <c r="A1987">
        <v>13531</v>
      </c>
      <c r="B1987" t="s">
        <v>25</v>
      </c>
      <c r="C1987" t="str">
        <f t="shared" si="64"/>
        <v>INTEGRA Saloon</v>
      </c>
      <c r="D1987" t="str">
        <f t="shared" si="63"/>
        <v>1.6 i</v>
      </c>
      <c r="E1987" t="s">
        <v>26</v>
      </c>
      <c r="F1987">
        <v>198501</v>
      </c>
      <c r="G1987">
        <v>199012</v>
      </c>
      <c r="H1987">
        <v>88</v>
      </c>
      <c r="I1987">
        <v>120</v>
      </c>
      <c r="J1987">
        <v>1590</v>
      </c>
      <c r="K1987">
        <v>3920231</v>
      </c>
      <c r="L1987" t="s">
        <v>1187</v>
      </c>
      <c r="M1987" t="str">
        <f>"14300"</f>
        <v>14300</v>
      </c>
      <c r="N1987" t="str">
        <f>"14300"</f>
        <v>14300</v>
      </c>
      <c r="O1987" t="str">
        <f>""</f>
        <v/>
      </c>
      <c r="P1987" t="s">
        <v>1198</v>
      </c>
      <c r="Q1987" t="str">
        <f>""</f>
        <v/>
      </c>
      <c r="S1987" t="s">
        <v>1620</v>
      </c>
      <c r="U1987">
        <v>3224</v>
      </c>
      <c r="V1987" t="s">
        <v>72</v>
      </c>
      <c r="W1987" t="s">
        <v>1171</v>
      </c>
      <c r="X1987" t="s">
        <v>71</v>
      </c>
      <c r="Y1987" t="s">
        <v>1197</v>
      </c>
    </row>
    <row r="1988" spans="1:25">
      <c r="A1988">
        <v>13531</v>
      </c>
      <c r="B1988" t="s">
        <v>25</v>
      </c>
      <c r="C1988" t="str">
        <f t="shared" si="64"/>
        <v>INTEGRA Saloon</v>
      </c>
      <c r="D1988" t="str">
        <f t="shared" si="63"/>
        <v>1.6 i</v>
      </c>
      <c r="E1988" t="s">
        <v>26</v>
      </c>
      <c r="F1988">
        <v>198501</v>
      </c>
      <c r="G1988">
        <v>199012</v>
      </c>
      <c r="H1988">
        <v>88</v>
      </c>
      <c r="I1988">
        <v>120</v>
      </c>
      <c r="J1988">
        <v>1590</v>
      </c>
      <c r="K1988">
        <v>3920233</v>
      </c>
      <c r="L1988" t="s">
        <v>1187</v>
      </c>
      <c r="M1988" t="str">
        <f>"14600"</f>
        <v>14600</v>
      </c>
      <c r="N1988" t="str">
        <f>"14600"</f>
        <v>14600</v>
      </c>
      <c r="O1988" t="str">
        <f>""</f>
        <v/>
      </c>
      <c r="P1988" t="s">
        <v>1209</v>
      </c>
      <c r="Q1988" t="str">
        <f>""</f>
        <v/>
      </c>
      <c r="S1988" t="s">
        <v>1620</v>
      </c>
      <c r="U1988">
        <v>3224</v>
      </c>
      <c r="V1988" t="s">
        <v>72</v>
      </c>
      <c r="W1988" t="s">
        <v>1171</v>
      </c>
      <c r="X1988" t="s">
        <v>71</v>
      </c>
      <c r="Y1988" t="s">
        <v>1197</v>
      </c>
    </row>
    <row r="1989" spans="1:25">
      <c r="A1989">
        <v>13531</v>
      </c>
      <c r="B1989" t="s">
        <v>25</v>
      </c>
      <c r="C1989" t="str">
        <f t="shared" si="64"/>
        <v>INTEGRA Saloon</v>
      </c>
      <c r="D1989" t="str">
        <f t="shared" si="63"/>
        <v>1.6 i</v>
      </c>
      <c r="E1989" t="s">
        <v>26</v>
      </c>
      <c r="F1989">
        <v>198501</v>
      </c>
      <c r="G1989">
        <v>199012</v>
      </c>
      <c r="H1989">
        <v>88</v>
      </c>
      <c r="I1989">
        <v>120</v>
      </c>
      <c r="J1989">
        <v>1590</v>
      </c>
      <c r="K1989">
        <v>3920235</v>
      </c>
      <c r="L1989" t="s">
        <v>1187</v>
      </c>
      <c r="M1989" t="str">
        <f>"16100"</f>
        <v>16100</v>
      </c>
      <c r="N1989" t="str">
        <f>"16100"</f>
        <v>16100</v>
      </c>
      <c r="O1989" t="str">
        <f>""</f>
        <v/>
      </c>
      <c r="P1989" t="s">
        <v>1198</v>
      </c>
      <c r="Q1989" t="str">
        <f>""</f>
        <v/>
      </c>
      <c r="S1989" t="s">
        <v>1620</v>
      </c>
      <c r="U1989">
        <v>3224</v>
      </c>
      <c r="V1989" t="s">
        <v>72</v>
      </c>
      <c r="W1989" t="s">
        <v>1171</v>
      </c>
      <c r="X1989" t="s">
        <v>71</v>
      </c>
      <c r="Y1989" t="s">
        <v>1197</v>
      </c>
    </row>
    <row r="1990" spans="1:25">
      <c r="A1990">
        <v>13531</v>
      </c>
      <c r="B1990" t="s">
        <v>25</v>
      </c>
      <c r="C1990" t="str">
        <f t="shared" si="64"/>
        <v>INTEGRA Saloon</v>
      </c>
      <c r="D1990" t="str">
        <f t="shared" si="63"/>
        <v>1.6 i</v>
      </c>
      <c r="E1990" t="s">
        <v>26</v>
      </c>
      <c r="F1990">
        <v>198501</v>
      </c>
      <c r="G1990">
        <v>199012</v>
      </c>
      <c r="H1990">
        <v>88</v>
      </c>
      <c r="I1990">
        <v>120</v>
      </c>
      <c r="J1990">
        <v>1590</v>
      </c>
      <c r="K1990">
        <v>4083935</v>
      </c>
      <c r="L1990" t="s">
        <v>1190</v>
      </c>
      <c r="M1990" t="str">
        <f>"1112110"</f>
        <v>1112110</v>
      </c>
      <c r="N1990" t="str">
        <f>"1112110"</f>
        <v>1112110</v>
      </c>
      <c r="O1990" t="str">
        <f>""</f>
        <v/>
      </c>
      <c r="P1990" t="s">
        <v>1203</v>
      </c>
      <c r="Q1990" t="str">
        <f>""</f>
        <v/>
      </c>
      <c r="R1990" s="1" t="s">
        <v>1210</v>
      </c>
      <c r="S1990" t="s">
        <v>1617</v>
      </c>
      <c r="T1990" s="1" t="s">
        <v>1211</v>
      </c>
      <c r="U1990">
        <v>3224</v>
      </c>
      <c r="V1990" t="s">
        <v>72</v>
      </c>
      <c r="W1990" t="s">
        <v>1171</v>
      </c>
      <c r="X1990" t="s">
        <v>71</v>
      </c>
      <c r="Y1990" t="s">
        <v>1197</v>
      </c>
    </row>
    <row r="1991" spans="1:25">
      <c r="A1991">
        <v>13531</v>
      </c>
      <c r="B1991" t="s">
        <v>25</v>
      </c>
      <c r="C1991" t="str">
        <f t="shared" si="64"/>
        <v>INTEGRA Saloon</v>
      </c>
      <c r="D1991" t="str">
        <f t="shared" si="63"/>
        <v>1.6 i</v>
      </c>
      <c r="E1991" t="s">
        <v>26</v>
      </c>
      <c r="F1991">
        <v>198501</v>
      </c>
      <c r="G1991">
        <v>199012</v>
      </c>
      <c r="H1991">
        <v>88</v>
      </c>
      <c r="I1991">
        <v>120</v>
      </c>
      <c r="J1991">
        <v>1590</v>
      </c>
      <c r="K1991">
        <v>4971186</v>
      </c>
      <c r="L1991" t="s">
        <v>1212</v>
      </c>
      <c r="M1991" t="str">
        <f>"500090"</f>
        <v>500090</v>
      </c>
      <c r="N1991" t="str">
        <f>"500090"</f>
        <v>500090</v>
      </c>
      <c r="O1991" t="str">
        <f>""</f>
        <v/>
      </c>
      <c r="P1991" t="s">
        <v>1195</v>
      </c>
      <c r="Q1991" t="str">
        <f>""</f>
        <v/>
      </c>
      <c r="U1991">
        <v>3224</v>
      </c>
      <c r="V1991" t="s">
        <v>72</v>
      </c>
      <c r="W1991" t="s">
        <v>1171</v>
      </c>
      <c r="X1991" t="s">
        <v>71</v>
      </c>
      <c r="Y1991" t="s">
        <v>1197</v>
      </c>
    </row>
    <row r="1992" spans="1:25">
      <c r="A1992">
        <v>13531</v>
      </c>
      <c r="B1992" t="s">
        <v>25</v>
      </c>
      <c r="C1992" t="str">
        <f t="shared" si="64"/>
        <v>INTEGRA Saloon</v>
      </c>
      <c r="D1992" t="str">
        <f t="shared" si="63"/>
        <v>1.6 i</v>
      </c>
      <c r="E1992" t="s">
        <v>26</v>
      </c>
      <c r="F1992">
        <v>198501</v>
      </c>
      <c r="G1992">
        <v>199012</v>
      </c>
      <c r="H1992">
        <v>88</v>
      </c>
      <c r="I1992">
        <v>120</v>
      </c>
      <c r="J1992">
        <v>1590</v>
      </c>
      <c r="K1992">
        <v>4971260</v>
      </c>
      <c r="L1992" t="s">
        <v>1212</v>
      </c>
      <c r="M1992" t="str">
        <f>"500521"</f>
        <v>500521</v>
      </c>
      <c r="N1992" t="str">
        <f>"500521"</f>
        <v>500521</v>
      </c>
      <c r="O1992" t="str">
        <f>""</f>
        <v/>
      </c>
      <c r="P1992" t="s">
        <v>1195</v>
      </c>
      <c r="Q1992" t="str">
        <f>""</f>
        <v/>
      </c>
      <c r="U1992">
        <v>3224</v>
      </c>
      <c r="V1992" t="s">
        <v>72</v>
      </c>
      <c r="W1992" t="s">
        <v>1171</v>
      </c>
      <c r="X1992" t="s">
        <v>71</v>
      </c>
      <c r="Y1992" t="s">
        <v>1197</v>
      </c>
    </row>
    <row r="1993" spans="1:25">
      <c r="A1993">
        <v>13531</v>
      </c>
      <c r="B1993" t="s">
        <v>25</v>
      </c>
      <c r="C1993" t="str">
        <f t="shared" si="64"/>
        <v>INTEGRA Saloon</v>
      </c>
      <c r="D1993" t="str">
        <f t="shared" si="63"/>
        <v>1.6 i</v>
      </c>
      <c r="E1993" t="s">
        <v>26</v>
      </c>
      <c r="F1993">
        <v>198501</v>
      </c>
      <c r="G1993">
        <v>199012</v>
      </c>
      <c r="H1993">
        <v>88</v>
      </c>
      <c r="I1993">
        <v>120</v>
      </c>
      <c r="J1993">
        <v>1590</v>
      </c>
      <c r="K1993">
        <v>4971268</v>
      </c>
      <c r="L1993" t="s">
        <v>1212</v>
      </c>
      <c r="M1993" t="str">
        <f>"500591"</f>
        <v>500591</v>
      </c>
      <c r="N1993" t="str">
        <f>"500591"</f>
        <v>500591</v>
      </c>
      <c r="O1993" t="str">
        <f>""</f>
        <v/>
      </c>
      <c r="P1993" t="s">
        <v>1195</v>
      </c>
      <c r="Q1993" t="str">
        <f>""</f>
        <v/>
      </c>
      <c r="U1993">
        <v>3224</v>
      </c>
      <c r="V1993" t="s">
        <v>72</v>
      </c>
      <c r="W1993" t="s">
        <v>1171</v>
      </c>
      <c r="X1993" t="s">
        <v>71</v>
      </c>
      <c r="Y1993" t="s">
        <v>1197</v>
      </c>
    </row>
    <row r="1994" spans="1:25">
      <c r="A1994">
        <v>13531</v>
      </c>
      <c r="B1994" t="s">
        <v>25</v>
      </c>
      <c r="C1994" t="str">
        <f t="shared" si="64"/>
        <v>INTEGRA Saloon</v>
      </c>
      <c r="D1994" t="str">
        <f t="shared" si="63"/>
        <v>1.6 i</v>
      </c>
      <c r="E1994" t="s">
        <v>26</v>
      </c>
      <c r="F1994">
        <v>198501</v>
      </c>
      <c r="G1994">
        <v>199012</v>
      </c>
      <c r="H1994">
        <v>88</v>
      </c>
      <c r="I1994">
        <v>120</v>
      </c>
      <c r="J1994">
        <v>1590</v>
      </c>
      <c r="K1994">
        <v>4971282</v>
      </c>
      <c r="L1994" t="s">
        <v>1212</v>
      </c>
      <c r="M1994" t="str">
        <f>"501100"</f>
        <v>501100</v>
      </c>
      <c r="N1994" t="str">
        <f>"501100"</f>
        <v>501100</v>
      </c>
      <c r="O1994" t="str">
        <f>""</f>
        <v/>
      </c>
      <c r="P1994" t="s">
        <v>1195</v>
      </c>
      <c r="Q1994" t="str">
        <f>""</f>
        <v/>
      </c>
      <c r="U1994">
        <v>3224</v>
      </c>
      <c r="V1994" t="s">
        <v>72</v>
      </c>
      <c r="W1994" t="s">
        <v>1171</v>
      </c>
      <c r="X1994" t="s">
        <v>71</v>
      </c>
      <c r="Y1994" t="s">
        <v>1197</v>
      </c>
    </row>
    <row r="1995" spans="1:25">
      <c r="A1995">
        <v>13531</v>
      </c>
      <c r="B1995" t="s">
        <v>25</v>
      </c>
      <c r="C1995" t="str">
        <f t="shared" si="64"/>
        <v>INTEGRA Saloon</v>
      </c>
      <c r="D1995" t="str">
        <f t="shared" si="63"/>
        <v>1.6 i</v>
      </c>
      <c r="E1995" t="s">
        <v>26</v>
      </c>
      <c r="F1995">
        <v>198501</v>
      </c>
      <c r="G1995">
        <v>199012</v>
      </c>
      <c r="H1995">
        <v>88</v>
      </c>
      <c r="I1995">
        <v>120</v>
      </c>
      <c r="J1995">
        <v>1590</v>
      </c>
      <c r="K1995">
        <v>4971375</v>
      </c>
      <c r="L1995" t="s">
        <v>1212</v>
      </c>
      <c r="M1995" t="str">
        <f>"501881"</f>
        <v>501881</v>
      </c>
      <c r="N1995" t="str">
        <f>"501881"</f>
        <v>501881</v>
      </c>
      <c r="O1995" t="str">
        <f>""</f>
        <v/>
      </c>
      <c r="P1995" t="s">
        <v>1195</v>
      </c>
      <c r="Q1995" t="str">
        <f>""</f>
        <v/>
      </c>
      <c r="U1995">
        <v>3224</v>
      </c>
      <c r="V1995" t="s">
        <v>72</v>
      </c>
      <c r="W1995" t="s">
        <v>1171</v>
      </c>
      <c r="X1995" t="s">
        <v>71</v>
      </c>
      <c r="Y1995" t="s">
        <v>1197</v>
      </c>
    </row>
    <row r="1996" spans="1:25">
      <c r="A1996">
        <v>13531</v>
      </c>
      <c r="B1996" t="s">
        <v>25</v>
      </c>
      <c r="C1996" t="str">
        <f t="shared" si="64"/>
        <v>INTEGRA Saloon</v>
      </c>
      <c r="D1996" t="str">
        <f t="shared" si="63"/>
        <v>1.6 i</v>
      </c>
      <c r="E1996" t="s">
        <v>26</v>
      </c>
      <c r="F1996">
        <v>198501</v>
      </c>
      <c r="G1996">
        <v>199012</v>
      </c>
      <c r="H1996">
        <v>88</v>
      </c>
      <c r="I1996">
        <v>120</v>
      </c>
      <c r="J1996">
        <v>1590</v>
      </c>
      <c r="K1996">
        <v>4971380</v>
      </c>
      <c r="L1996" t="s">
        <v>1212</v>
      </c>
      <c r="M1996" t="str">
        <f>"501937"</f>
        <v>501937</v>
      </c>
      <c r="N1996" t="str">
        <f>"501937"</f>
        <v>501937</v>
      </c>
      <c r="O1996" t="str">
        <f>""</f>
        <v/>
      </c>
      <c r="P1996" t="s">
        <v>1195</v>
      </c>
      <c r="Q1996" t="str">
        <f>""</f>
        <v/>
      </c>
      <c r="U1996">
        <v>3224</v>
      </c>
      <c r="V1996" t="s">
        <v>72</v>
      </c>
      <c r="W1996" t="s">
        <v>1171</v>
      </c>
      <c r="X1996" t="s">
        <v>71</v>
      </c>
      <c r="Y1996" t="s">
        <v>1197</v>
      </c>
    </row>
    <row r="1997" spans="1:25">
      <c r="A1997">
        <v>13531</v>
      </c>
      <c r="B1997" t="s">
        <v>25</v>
      </c>
      <c r="C1997" t="str">
        <f t="shared" si="64"/>
        <v>INTEGRA Saloon</v>
      </c>
      <c r="D1997" t="str">
        <f t="shared" si="63"/>
        <v>1.6 i</v>
      </c>
      <c r="E1997" t="s">
        <v>26</v>
      </c>
      <c r="F1997">
        <v>198501</v>
      </c>
      <c r="G1997">
        <v>199012</v>
      </c>
      <c r="H1997">
        <v>88</v>
      </c>
      <c r="I1997">
        <v>120</v>
      </c>
      <c r="J1997">
        <v>1590</v>
      </c>
      <c r="K1997">
        <v>750298</v>
      </c>
      <c r="L1997" t="s">
        <v>1173</v>
      </c>
      <c r="M1997" t="str">
        <f>"TRONIC15W40"</f>
        <v>TRONIC15W40</v>
      </c>
      <c r="N1997" t="str">
        <f>"Tronic 15W-40"</f>
        <v>Tronic 15W-40</v>
      </c>
      <c r="O1997" t="str">
        <f>""</f>
        <v/>
      </c>
      <c r="P1997" t="s">
        <v>1198</v>
      </c>
      <c r="Q1997" t="str">
        <f>""</f>
        <v/>
      </c>
      <c r="S1997" t="s">
        <v>1213</v>
      </c>
      <c r="U1997">
        <v>3225</v>
      </c>
      <c r="V1997" t="s">
        <v>1214</v>
      </c>
      <c r="W1997" t="s">
        <v>1171</v>
      </c>
      <c r="X1997" t="s">
        <v>1215</v>
      </c>
      <c r="Y1997" t="s">
        <v>1215</v>
      </c>
    </row>
    <row r="1998" spans="1:25">
      <c r="A1998">
        <v>13531</v>
      </c>
      <c r="B1998" t="s">
        <v>25</v>
      </c>
      <c r="C1998" t="str">
        <f t="shared" si="64"/>
        <v>INTEGRA Saloon</v>
      </c>
      <c r="D1998" t="str">
        <f t="shared" si="63"/>
        <v>1.6 i</v>
      </c>
      <c r="E1998" t="s">
        <v>26</v>
      </c>
      <c r="F1998">
        <v>198501</v>
      </c>
      <c r="G1998">
        <v>199012</v>
      </c>
      <c r="H1998">
        <v>88</v>
      </c>
      <c r="I1998">
        <v>120</v>
      </c>
      <c r="J1998">
        <v>1590</v>
      </c>
      <c r="K1998">
        <v>2861463</v>
      </c>
      <c r="L1998" t="s">
        <v>1181</v>
      </c>
      <c r="M1998" t="str">
        <f>"0078"</f>
        <v>0078</v>
      </c>
      <c r="N1998" t="str">
        <f>"0078"</f>
        <v>0078</v>
      </c>
      <c r="O1998" t="str">
        <f>""</f>
        <v/>
      </c>
      <c r="P1998" t="s">
        <v>1201</v>
      </c>
      <c r="Q1998" t="str">
        <f>""</f>
        <v/>
      </c>
      <c r="S1998" t="s">
        <v>1213</v>
      </c>
      <c r="U1998">
        <v>3225</v>
      </c>
      <c r="V1998" t="s">
        <v>1214</v>
      </c>
      <c r="W1998" t="s">
        <v>1171</v>
      </c>
      <c r="X1998" t="s">
        <v>1215</v>
      </c>
      <c r="Y1998" t="s">
        <v>1215</v>
      </c>
    </row>
    <row r="1999" spans="1:25">
      <c r="A1999">
        <v>13531</v>
      </c>
      <c r="B1999" t="s">
        <v>25</v>
      </c>
      <c r="C1999" t="str">
        <f t="shared" si="64"/>
        <v>INTEGRA Saloon</v>
      </c>
      <c r="D1999" t="str">
        <f t="shared" si="63"/>
        <v>1.6 i</v>
      </c>
      <c r="E1999" t="s">
        <v>26</v>
      </c>
      <c r="F1999">
        <v>198501</v>
      </c>
      <c r="G1999">
        <v>199012</v>
      </c>
      <c r="H1999">
        <v>88</v>
      </c>
      <c r="I1999">
        <v>120</v>
      </c>
      <c r="J1999">
        <v>1590</v>
      </c>
      <c r="K1999">
        <v>2861469</v>
      </c>
      <c r="L1999" t="s">
        <v>1181</v>
      </c>
      <c r="M1999" t="str">
        <f>"0080"</f>
        <v>0080</v>
      </c>
      <c r="N1999" t="str">
        <f>"0080"</f>
        <v>0080</v>
      </c>
      <c r="O1999" t="str">
        <f>""</f>
        <v/>
      </c>
      <c r="P1999" t="s">
        <v>1198</v>
      </c>
      <c r="Q1999" t="str">
        <f>""</f>
        <v/>
      </c>
      <c r="S1999" t="s">
        <v>1213</v>
      </c>
      <c r="U1999">
        <v>3225</v>
      </c>
      <c r="V1999" t="s">
        <v>1214</v>
      </c>
      <c r="W1999" t="s">
        <v>1171</v>
      </c>
      <c r="X1999" t="s">
        <v>1215</v>
      </c>
      <c r="Y1999" t="s">
        <v>1215</v>
      </c>
    </row>
    <row r="2000" spans="1:25">
      <c r="A2000">
        <v>13531</v>
      </c>
      <c r="B2000" t="s">
        <v>25</v>
      </c>
      <c r="C2000" t="str">
        <f t="shared" si="64"/>
        <v>INTEGRA Saloon</v>
      </c>
      <c r="D2000" t="str">
        <f t="shared" si="63"/>
        <v>1.6 i</v>
      </c>
      <c r="E2000" t="s">
        <v>26</v>
      </c>
      <c r="F2000">
        <v>198501</v>
      </c>
      <c r="G2000">
        <v>199012</v>
      </c>
      <c r="H2000">
        <v>88</v>
      </c>
      <c r="I2000">
        <v>120</v>
      </c>
      <c r="J2000">
        <v>1590</v>
      </c>
      <c r="K2000">
        <v>2861478</v>
      </c>
      <c r="L2000" t="s">
        <v>1181</v>
      </c>
      <c r="M2000" t="str">
        <f>"0082"</f>
        <v>0082</v>
      </c>
      <c r="N2000" t="str">
        <f>"0082"</f>
        <v>0082</v>
      </c>
      <c r="O2000" t="str">
        <f>""</f>
        <v/>
      </c>
      <c r="P2000" t="s">
        <v>1198</v>
      </c>
      <c r="Q2000" t="str">
        <f>""</f>
        <v/>
      </c>
      <c r="S2000" t="s">
        <v>1213</v>
      </c>
      <c r="U2000">
        <v>3225</v>
      </c>
      <c r="V2000" t="s">
        <v>1214</v>
      </c>
      <c r="W2000" t="s">
        <v>1171</v>
      </c>
      <c r="X2000" t="s">
        <v>1215</v>
      </c>
      <c r="Y2000" t="s">
        <v>1215</v>
      </c>
    </row>
    <row r="2001" spans="1:25">
      <c r="A2001">
        <v>13531</v>
      </c>
      <c r="B2001" t="s">
        <v>25</v>
      </c>
      <c r="C2001" t="str">
        <f t="shared" si="64"/>
        <v>INTEGRA Saloon</v>
      </c>
      <c r="D2001" t="str">
        <f t="shared" si="63"/>
        <v>1.6 i</v>
      </c>
      <c r="E2001" t="s">
        <v>26</v>
      </c>
      <c r="F2001">
        <v>198501</v>
      </c>
      <c r="G2001">
        <v>199012</v>
      </c>
      <c r="H2001">
        <v>88</v>
      </c>
      <c r="I2001">
        <v>120</v>
      </c>
      <c r="J2001">
        <v>1590</v>
      </c>
      <c r="K2001">
        <v>2861494</v>
      </c>
      <c r="L2001" t="s">
        <v>1181</v>
      </c>
      <c r="M2001" t="str">
        <f>"0161"</f>
        <v>0161</v>
      </c>
      <c r="N2001" t="str">
        <f>"0161"</f>
        <v>0161</v>
      </c>
      <c r="O2001" t="str">
        <f>""</f>
        <v/>
      </c>
      <c r="P2001" t="s">
        <v>1198</v>
      </c>
      <c r="Q2001" t="str">
        <f>""</f>
        <v/>
      </c>
      <c r="S2001" t="s">
        <v>1213</v>
      </c>
      <c r="U2001">
        <v>3225</v>
      </c>
      <c r="V2001" t="s">
        <v>1214</v>
      </c>
      <c r="W2001" t="s">
        <v>1171</v>
      </c>
      <c r="X2001" t="s">
        <v>1215</v>
      </c>
      <c r="Y2001" t="s">
        <v>1215</v>
      </c>
    </row>
    <row r="2002" spans="1:25">
      <c r="A2002">
        <v>13531</v>
      </c>
      <c r="B2002" t="s">
        <v>25</v>
      </c>
      <c r="C2002" t="str">
        <f t="shared" si="64"/>
        <v>INTEGRA Saloon</v>
      </c>
      <c r="D2002" t="str">
        <f t="shared" si="63"/>
        <v>1.6 i</v>
      </c>
      <c r="E2002" t="s">
        <v>26</v>
      </c>
      <c r="F2002">
        <v>198501</v>
      </c>
      <c r="G2002">
        <v>199012</v>
      </c>
      <c r="H2002">
        <v>88</v>
      </c>
      <c r="I2002">
        <v>120</v>
      </c>
      <c r="J2002">
        <v>1590</v>
      </c>
      <c r="K2002">
        <v>2861499</v>
      </c>
      <c r="L2002" t="s">
        <v>1181</v>
      </c>
      <c r="M2002" t="str">
        <f>"0183"</f>
        <v>0183</v>
      </c>
      <c r="N2002" t="str">
        <f>"0183"</f>
        <v>0183</v>
      </c>
      <c r="O2002" t="str">
        <f>""</f>
        <v/>
      </c>
      <c r="P2002" t="s">
        <v>1201</v>
      </c>
      <c r="Q2002" t="str">
        <f>""</f>
        <v/>
      </c>
      <c r="S2002" t="s">
        <v>1213</v>
      </c>
      <c r="U2002">
        <v>3225</v>
      </c>
      <c r="V2002" t="s">
        <v>1214</v>
      </c>
      <c r="W2002" t="s">
        <v>1171</v>
      </c>
      <c r="X2002" t="s">
        <v>1215</v>
      </c>
      <c r="Y2002" t="s">
        <v>1215</v>
      </c>
    </row>
    <row r="2003" spans="1:25">
      <c r="A2003">
        <v>13531</v>
      </c>
      <c r="B2003" t="s">
        <v>25</v>
      </c>
      <c r="C2003" t="str">
        <f t="shared" si="64"/>
        <v>INTEGRA Saloon</v>
      </c>
      <c r="D2003" t="str">
        <f t="shared" si="63"/>
        <v>1.6 i</v>
      </c>
      <c r="E2003" t="s">
        <v>26</v>
      </c>
      <c r="F2003">
        <v>198501</v>
      </c>
      <c r="G2003">
        <v>199012</v>
      </c>
      <c r="H2003">
        <v>88</v>
      </c>
      <c r="I2003">
        <v>120</v>
      </c>
      <c r="J2003">
        <v>1590</v>
      </c>
      <c r="K2003">
        <v>2861659</v>
      </c>
      <c r="L2003" t="s">
        <v>1181</v>
      </c>
      <c r="M2003" t="str">
        <f>"1430"</f>
        <v>1430</v>
      </c>
      <c r="N2003" t="str">
        <f>"1430"</f>
        <v>1430</v>
      </c>
      <c r="O2003" t="str">
        <f>""</f>
        <v/>
      </c>
      <c r="P2003" t="s">
        <v>1198</v>
      </c>
      <c r="Q2003" t="str">
        <f>""</f>
        <v/>
      </c>
      <c r="S2003" t="s">
        <v>1213</v>
      </c>
      <c r="U2003">
        <v>3225</v>
      </c>
      <c r="V2003" t="s">
        <v>1214</v>
      </c>
      <c r="W2003" t="s">
        <v>1171</v>
      </c>
      <c r="X2003" t="s">
        <v>1215</v>
      </c>
      <c r="Y2003" t="s">
        <v>1215</v>
      </c>
    </row>
    <row r="2004" spans="1:25">
      <c r="A2004">
        <v>13531</v>
      </c>
      <c r="B2004" t="s">
        <v>25</v>
      </c>
      <c r="C2004" t="str">
        <f t="shared" si="64"/>
        <v>INTEGRA Saloon</v>
      </c>
      <c r="D2004" t="str">
        <f t="shared" si="63"/>
        <v>1.6 i</v>
      </c>
      <c r="E2004" t="s">
        <v>26</v>
      </c>
      <c r="F2004">
        <v>198501</v>
      </c>
      <c r="G2004">
        <v>199012</v>
      </c>
      <c r="H2004">
        <v>88</v>
      </c>
      <c r="I2004">
        <v>120</v>
      </c>
      <c r="J2004">
        <v>1590</v>
      </c>
      <c r="K2004">
        <v>2861992</v>
      </c>
      <c r="L2004" t="s">
        <v>1181</v>
      </c>
      <c r="M2004" t="str">
        <f>"MAGNATECA15W30"</f>
        <v>MAGNATECA15W30</v>
      </c>
      <c r="N2004" t="str">
        <f>"Magnatec A1 5W-30"</f>
        <v>Magnatec A1 5W-30</v>
      </c>
      <c r="O2004" t="str">
        <f>""</f>
        <v/>
      </c>
      <c r="P2004" t="s">
        <v>1203</v>
      </c>
      <c r="Q2004" t="str">
        <f>""</f>
        <v/>
      </c>
      <c r="S2004" t="s">
        <v>1216</v>
      </c>
      <c r="U2004">
        <v>3225</v>
      </c>
      <c r="V2004" t="s">
        <v>1214</v>
      </c>
      <c r="W2004" t="s">
        <v>1171</v>
      </c>
      <c r="X2004" t="s">
        <v>1215</v>
      </c>
      <c r="Y2004" t="s">
        <v>1215</v>
      </c>
    </row>
    <row r="2005" spans="1:25">
      <c r="A2005">
        <v>13531</v>
      </c>
      <c r="B2005" t="s">
        <v>25</v>
      </c>
      <c r="C2005" t="str">
        <f t="shared" si="64"/>
        <v>INTEGRA Saloon</v>
      </c>
      <c r="D2005" t="str">
        <f t="shared" si="63"/>
        <v>1.6 i</v>
      </c>
      <c r="E2005" t="s">
        <v>26</v>
      </c>
      <c r="F2005">
        <v>198501</v>
      </c>
      <c r="G2005">
        <v>199012</v>
      </c>
      <c r="H2005">
        <v>88</v>
      </c>
      <c r="I2005">
        <v>120</v>
      </c>
      <c r="J2005">
        <v>1590</v>
      </c>
      <c r="K2005">
        <v>2861993</v>
      </c>
      <c r="L2005" t="s">
        <v>1181</v>
      </c>
      <c r="M2005" t="str">
        <f>"MAGNATECA3B410W40"</f>
        <v>MAGNATECA3B410W40</v>
      </c>
      <c r="N2005" t="str">
        <f>"Magnatec A3/B4 10W-40"</f>
        <v>Magnatec A3/B4 10W-40</v>
      </c>
      <c r="O2005" t="str">
        <f>""</f>
        <v/>
      </c>
      <c r="P2005" t="s">
        <v>1203</v>
      </c>
      <c r="Q2005" t="str">
        <f>""</f>
        <v/>
      </c>
      <c r="S2005" t="s">
        <v>1216</v>
      </c>
      <c r="U2005">
        <v>3225</v>
      </c>
      <c r="V2005" t="s">
        <v>1214</v>
      </c>
      <c r="W2005" t="s">
        <v>1171</v>
      </c>
      <c r="X2005" t="s">
        <v>1215</v>
      </c>
      <c r="Y2005" t="s">
        <v>1215</v>
      </c>
    </row>
    <row r="2006" spans="1:25">
      <c r="A2006">
        <v>13531</v>
      </c>
      <c r="B2006" t="s">
        <v>25</v>
      </c>
      <c r="C2006" t="str">
        <f t="shared" si="64"/>
        <v>INTEGRA Saloon</v>
      </c>
      <c r="D2006" t="str">
        <f t="shared" si="63"/>
        <v>1.6 i</v>
      </c>
      <c r="E2006" t="s">
        <v>26</v>
      </c>
      <c r="F2006">
        <v>198501</v>
      </c>
      <c r="G2006">
        <v>199012</v>
      </c>
      <c r="H2006">
        <v>88</v>
      </c>
      <c r="I2006">
        <v>120</v>
      </c>
      <c r="J2006">
        <v>1590</v>
      </c>
      <c r="K2006">
        <v>3748202</v>
      </c>
      <c r="L2006" t="s">
        <v>1185</v>
      </c>
      <c r="M2006" t="str">
        <f>"E100010"</f>
        <v>E100010</v>
      </c>
      <c r="N2006" t="str">
        <f>"E100010"</f>
        <v>E100010</v>
      </c>
      <c r="O2006" t="str">
        <f>""</f>
        <v/>
      </c>
      <c r="P2006" t="s">
        <v>1205</v>
      </c>
      <c r="Q2006" t="str">
        <f>""</f>
        <v/>
      </c>
      <c r="S2006" t="s">
        <v>1621</v>
      </c>
      <c r="U2006">
        <v>3225</v>
      </c>
      <c r="V2006" t="s">
        <v>1214</v>
      </c>
      <c r="W2006" t="s">
        <v>1171</v>
      </c>
      <c r="X2006" t="s">
        <v>1215</v>
      </c>
      <c r="Y2006" t="s">
        <v>1215</v>
      </c>
    </row>
    <row r="2007" spans="1:25">
      <c r="A2007">
        <v>13531</v>
      </c>
      <c r="B2007" t="s">
        <v>25</v>
      </c>
      <c r="C2007" t="str">
        <f t="shared" si="64"/>
        <v>INTEGRA Saloon</v>
      </c>
      <c r="D2007" t="str">
        <f t="shared" si="63"/>
        <v>1.6 i</v>
      </c>
      <c r="E2007" t="s">
        <v>26</v>
      </c>
      <c r="F2007">
        <v>198501</v>
      </c>
      <c r="G2007">
        <v>199012</v>
      </c>
      <c r="H2007">
        <v>88</v>
      </c>
      <c r="I2007">
        <v>120</v>
      </c>
      <c r="J2007">
        <v>1590</v>
      </c>
      <c r="K2007">
        <v>3748207</v>
      </c>
      <c r="L2007" t="s">
        <v>1185</v>
      </c>
      <c r="M2007" t="str">
        <f>"E100020"</f>
        <v>E100020</v>
      </c>
      <c r="N2007" t="str">
        <f>"E100020"</f>
        <v>E100020</v>
      </c>
      <c r="O2007" t="str">
        <f>""</f>
        <v/>
      </c>
      <c r="P2007" t="s">
        <v>1200</v>
      </c>
      <c r="Q2007" t="str">
        <f>""</f>
        <v/>
      </c>
      <c r="S2007" t="s">
        <v>1621</v>
      </c>
      <c r="U2007">
        <v>3225</v>
      </c>
      <c r="V2007" t="s">
        <v>1214</v>
      </c>
      <c r="W2007" t="s">
        <v>1171</v>
      </c>
      <c r="X2007" t="s">
        <v>1215</v>
      </c>
      <c r="Y2007" t="s">
        <v>1215</v>
      </c>
    </row>
    <row r="2008" spans="1:25">
      <c r="A2008">
        <v>13531</v>
      </c>
      <c r="B2008" t="s">
        <v>25</v>
      </c>
      <c r="C2008" t="str">
        <f t="shared" si="64"/>
        <v>INTEGRA Saloon</v>
      </c>
      <c r="D2008" t="str">
        <f t="shared" si="63"/>
        <v>1.6 i</v>
      </c>
      <c r="E2008" t="s">
        <v>26</v>
      </c>
      <c r="F2008">
        <v>198501</v>
      </c>
      <c r="G2008">
        <v>199012</v>
      </c>
      <c r="H2008">
        <v>88</v>
      </c>
      <c r="I2008">
        <v>120</v>
      </c>
      <c r="J2008">
        <v>1590</v>
      </c>
      <c r="K2008">
        <v>3748265</v>
      </c>
      <c r="L2008" t="s">
        <v>1185</v>
      </c>
      <c r="M2008" t="str">
        <f>"E100060"</f>
        <v>E100060</v>
      </c>
      <c r="N2008" t="str">
        <f>"E100060"</f>
        <v>E100060</v>
      </c>
      <c r="O2008" t="str">
        <f>""</f>
        <v/>
      </c>
      <c r="P2008" t="s">
        <v>1200</v>
      </c>
      <c r="Q2008" t="str">
        <f>""</f>
        <v/>
      </c>
      <c r="S2008" t="s">
        <v>1213</v>
      </c>
      <c r="U2008">
        <v>3225</v>
      </c>
      <c r="V2008" t="s">
        <v>1214</v>
      </c>
      <c r="W2008" t="s">
        <v>1171</v>
      </c>
      <c r="X2008" t="s">
        <v>1215</v>
      </c>
      <c r="Y2008" t="s">
        <v>1215</v>
      </c>
    </row>
    <row r="2009" spans="1:25">
      <c r="A2009">
        <v>13531</v>
      </c>
      <c r="B2009" t="s">
        <v>25</v>
      </c>
      <c r="C2009" t="str">
        <f t="shared" si="64"/>
        <v>INTEGRA Saloon</v>
      </c>
      <c r="D2009" t="str">
        <f t="shared" si="63"/>
        <v>1.6 i</v>
      </c>
      <c r="E2009" t="s">
        <v>26</v>
      </c>
      <c r="F2009">
        <v>198501</v>
      </c>
      <c r="G2009">
        <v>199012</v>
      </c>
      <c r="H2009">
        <v>88</v>
      </c>
      <c r="I2009">
        <v>120</v>
      </c>
      <c r="J2009">
        <v>1590</v>
      </c>
      <c r="K2009">
        <v>3748367</v>
      </c>
      <c r="L2009" t="s">
        <v>1185</v>
      </c>
      <c r="M2009" t="str">
        <f>"E100096"</f>
        <v>E100096</v>
      </c>
      <c r="N2009" t="str">
        <f>"E100096"</f>
        <v>E100096</v>
      </c>
      <c r="O2009" t="str">
        <f>""</f>
        <v/>
      </c>
      <c r="P2009" t="s">
        <v>1207</v>
      </c>
      <c r="Q2009" t="str">
        <f>""</f>
        <v/>
      </c>
      <c r="S2009" t="s">
        <v>1621</v>
      </c>
      <c r="U2009">
        <v>3225</v>
      </c>
      <c r="V2009" t="s">
        <v>1214</v>
      </c>
      <c r="W2009" t="s">
        <v>1171</v>
      </c>
      <c r="X2009" t="s">
        <v>1215</v>
      </c>
      <c r="Y2009" t="s">
        <v>1215</v>
      </c>
    </row>
    <row r="2010" spans="1:25">
      <c r="A2010">
        <v>13531</v>
      </c>
      <c r="B2010" t="s">
        <v>25</v>
      </c>
      <c r="C2010" t="str">
        <f t="shared" si="64"/>
        <v>INTEGRA Saloon</v>
      </c>
      <c r="D2010" t="str">
        <f t="shared" si="63"/>
        <v>1.6 i</v>
      </c>
      <c r="E2010" t="s">
        <v>26</v>
      </c>
      <c r="F2010">
        <v>198501</v>
      </c>
      <c r="G2010">
        <v>199012</v>
      </c>
      <c r="H2010">
        <v>88</v>
      </c>
      <c r="I2010">
        <v>120</v>
      </c>
      <c r="J2010">
        <v>1590</v>
      </c>
      <c r="K2010">
        <v>3748406</v>
      </c>
      <c r="L2010" t="s">
        <v>1185</v>
      </c>
      <c r="M2010" t="str">
        <f>"E100125"</f>
        <v>E100125</v>
      </c>
      <c r="N2010" t="str">
        <f>"E100125"</f>
        <v>E100125</v>
      </c>
      <c r="O2010" t="str">
        <f>""</f>
        <v/>
      </c>
      <c r="P2010" t="s">
        <v>1207</v>
      </c>
      <c r="Q2010" t="str">
        <f>""</f>
        <v/>
      </c>
      <c r="S2010" t="s">
        <v>1621</v>
      </c>
      <c r="U2010">
        <v>3225</v>
      </c>
      <c r="V2010" t="s">
        <v>1214</v>
      </c>
      <c r="W2010" t="s">
        <v>1171</v>
      </c>
      <c r="X2010" t="s">
        <v>1215</v>
      </c>
      <c r="Y2010" t="s">
        <v>1215</v>
      </c>
    </row>
    <row r="2011" spans="1:25">
      <c r="A2011">
        <v>13531</v>
      </c>
      <c r="B2011" t="s">
        <v>25</v>
      </c>
      <c r="C2011" t="str">
        <f t="shared" si="64"/>
        <v>INTEGRA Saloon</v>
      </c>
      <c r="D2011" t="str">
        <f t="shared" si="63"/>
        <v>1.6 i</v>
      </c>
      <c r="E2011" t="s">
        <v>26</v>
      </c>
      <c r="F2011">
        <v>198501</v>
      </c>
      <c r="G2011">
        <v>199012</v>
      </c>
      <c r="H2011">
        <v>88</v>
      </c>
      <c r="I2011">
        <v>120</v>
      </c>
      <c r="J2011">
        <v>1590</v>
      </c>
      <c r="K2011">
        <v>3920235</v>
      </c>
      <c r="L2011" t="s">
        <v>1187</v>
      </c>
      <c r="M2011" t="str">
        <f>"16100"</f>
        <v>16100</v>
      </c>
      <c r="N2011" t="str">
        <f>"16100"</f>
        <v>16100</v>
      </c>
      <c r="O2011" t="str">
        <f>""</f>
        <v/>
      </c>
      <c r="P2011" t="s">
        <v>1198</v>
      </c>
      <c r="Q2011" t="str">
        <f>""</f>
        <v/>
      </c>
      <c r="S2011" t="s">
        <v>1218</v>
      </c>
      <c r="U2011">
        <v>3225</v>
      </c>
      <c r="V2011" t="s">
        <v>1214</v>
      </c>
      <c r="W2011" t="s">
        <v>1171</v>
      </c>
      <c r="X2011" t="s">
        <v>1215</v>
      </c>
      <c r="Y2011" t="s">
        <v>1215</v>
      </c>
    </row>
    <row r="2012" spans="1:25">
      <c r="A2012">
        <v>13531</v>
      </c>
      <c r="B2012" t="s">
        <v>25</v>
      </c>
      <c r="C2012" t="str">
        <f t="shared" si="64"/>
        <v>INTEGRA Saloon</v>
      </c>
      <c r="D2012" t="str">
        <f t="shared" si="63"/>
        <v>1.6 i</v>
      </c>
      <c r="E2012" t="s">
        <v>26</v>
      </c>
      <c r="F2012">
        <v>198501</v>
      </c>
      <c r="G2012">
        <v>199012</v>
      </c>
      <c r="H2012">
        <v>88</v>
      </c>
      <c r="I2012">
        <v>120</v>
      </c>
      <c r="J2012">
        <v>1590</v>
      </c>
      <c r="K2012">
        <v>4083837</v>
      </c>
      <c r="L2012" t="s">
        <v>1190</v>
      </c>
      <c r="M2012" t="str">
        <f>"1111122"</f>
        <v>1111122</v>
      </c>
      <c r="N2012" t="str">
        <f>"1111122"</f>
        <v>1111122</v>
      </c>
      <c r="O2012" t="str">
        <f>""</f>
        <v/>
      </c>
      <c r="P2012" t="s">
        <v>1203</v>
      </c>
      <c r="Q2012" t="str">
        <f>""</f>
        <v/>
      </c>
      <c r="R2012" s="1" t="s">
        <v>1219</v>
      </c>
      <c r="S2012" t="s">
        <v>1213</v>
      </c>
      <c r="T2012" t="s">
        <v>1220</v>
      </c>
      <c r="U2012">
        <v>3225</v>
      </c>
      <c r="V2012" t="s">
        <v>1214</v>
      </c>
      <c r="W2012" t="s">
        <v>1171</v>
      </c>
      <c r="X2012" t="s">
        <v>1215</v>
      </c>
      <c r="Y2012" t="s">
        <v>1215</v>
      </c>
    </row>
    <row r="2013" spans="1:25">
      <c r="A2013">
        <v>13531</v>
      </c>
      <c r="B2013" t="s">
        <v>25</v>
      </c>
      <c r="C2013" t="str">
        <f t="shared" si="64"/>
        <v>INTEGRA Saloon</v>
      </c>
      <c r="D2013" t="str">
        <f t="shared" si="63"/>
        <v>1.6 i</v>
      </c>
      <c r="E2013" t="s">
        <v>26</v>
      </c>
      <c r="F2013">
        <v>198501</v>
      </c>
      <c r="G2013">
        <v>199012</v>
      </c>
      <c r="H2013">
        <v>88</v>
      </c>
      <c r="I2013">
        <v>120</v>
      </c>
      <c r="J2013">
        <v>1590</v>
      </c>
      <c r="K2013">
        <v>4083935</v>
      </c>
      <c r="L2013" t="s">
        <v>1190</v>
      </c>
      <c r="M2013" t="str">
        <f>"1112110"</f>
        <v>1112110</v>
      </c>
      <c r="N2013" t="str">
        <f>"1112110"</f>
        <v>1112110</v>
      </c>
      <c r="O2013" t="str">
        <f>""</f>
        <v/>
      </c>
      <c r="P2013" t="s">
        <v>1203</v>
      </c>
      <c r="Q2013" t="str">
        <f>""</f>
        <v/>
      </c>
      <c r="R2013" s="1" t="s">
        <v>1210</v>
      </c>
      <c r="S2013" t="s">
        <v>1213</v>
      </c>
      <c r="T2013" s="1" t="s">
        <v>1211</v>
      </c>
      <c r="U2013">
        <v>3225</v>
      </c>
      <c r="V2013" t="s">
        <v>1214</v>
      </c>
      <c r="W2013" t="s">
        <v>1171</v>
      </c>
      <c r="X2013" t="s">
        <v>1215</v>
      </c>
      <c r="Y2013" t="s">
        <v>1215</v>
      </c>
    </row>
    <row r="2014" spans="1:25">
      <c r="A2014">
        <v>13531</v>
      </c>
      <c r="B2014" t="s">
        <v>25</v>
      </c>
      <c r="C2014" t="str">
        <f t="shared" si="64"/>
        <v>INTEGRA Saloon</v>
      </c>
      <c r="D2014" t="str">
        <f t="shared" si="63"/>
        <v>1.6 i</v>
      </c>
      <c r="E2014" t="s">
        <v>26</v>
      </c>
      <c r="F2014">
        <v>198501</v>
      </c>
      <c r="G2014">
        <v>199012</v>
      </c>
      <c r="H2014">
        <v>88</v>
      </c>
      <c r="I2014">
        <v>120</v>
      </c>
      <c r="J2014">
        <v>1590</v>
      </c>
      <c r="K2014">
        <v>4952281</v>
      </c>
      <c r="L2014" t="s">
        <v>1173</v>
      </c>
      <c r="M2014" t="str">
        <f>"SUPERTRONIC0W40"</f>
        <v>SUPERTRONIC0W40</v>
      </c>
      <c r="N2014" t="str">
        <f>"SuperTronic 0W-40"</f>
        <v>SuperTronic 0W-40</v>
      </c>
      <c r="O2014" t="str">
        <f>""</f>
        <v/>
      </c>
      <c r="P2014" t="s">
        <v>1198</v>
      </c>
      <c r="Q2014" t="str">
        <f>""</f>
        <v/>
      </c>
      <c r="S2014" t="s">
        <v>1213</v>
      </c>
      <c r="U2014">
        <v>3225</v>
      </c>
      <c r="V2014" t="s">
        <v>1214</v>
      </c>
      <c r="W2014" t="s">
        <v>1171</v>
      </c>
      <c r="X2014" t="s">
        <v>1215</v>
      </c>
      <c r="Y2014" t="s">
        <v>1215</v>
      </c>
    </row>
    <row r="2015" spans="1:25">
      <c r="A2015">
        <v>13531</v>
      </c>
      <c r="B2015" t="s">
        <v>25</v>
      </c>
      <c r="C2015" t="str">
        <f t="shared" si="64"/>
        <v>INTEGRA Saloon</v>
      </c>
      <c r="D2015" t="str">
        <f t="shared" si="63"/>
        <v>1.6 i</v>
      </c>
      <c r="E2015" t="s">
        <v>26</v>
      </c>
      <c r="F2015">
        <v>198501</v>
      </c>
      <c r="G2015">
        <v>199012</v>
      </c>
      <c r="H2015">
        <v>88</v>
      </c>
      <c r="I2015">
        <v>120</v>
      </c>
      <c r="J2015">
        <v>1590</v>
      </c>
      <c r="K2015">
        <v>3748616</v>
      </c>
      <c r="L2015" t="s">
        <v>1185</v>
      </c>
      <c r="M2015" t="str">
        <f>"E113661"</f>
        <v>E113661</v>
      </c>
      <c r="N2015" t="str">
        <f>"E113661"</f>
        <v>E113661</v>
      </c>
      <c r="O2015" t="str">
        <f>""</f>
        <v/>
      </c>
      <c r="P2015" t="s">
        <v>1221</v>
      </c>
      <c r="Q2015" t="str">
        <f>""</f>
        <v/>
      </c>
      <c r="U2015">
        <v>3354</v>
      </c>
      <c r="V2015" t="s">
        <v>1222</v>
      </c>
      <c r="W2015" t="s">
        <v>1171</v>
      </c>
      <c r="X2015" t="s">
        <v>211</v>
      </c>
      <c r="Y2015" t="s">
        <v>1223</v>
      </c>
    </row>
    <row r="2016" spans="1:25">
      <c r="A2016">
        <v>13531</v>
      </c>
      <c r="B2016" t="s">
        <v>25</v>
      </c>
      <c r="C2016" t="str">
        <f t="shared" si="64"/>
        <v>INTEGRA Saloon</v>
      </c>
      <c r="D2016" t="str">
        <f t="shared" si="63"/>
        <v>1.6 i</v>
      </c>
      <c r="E2016" t="s">
        <v>26</v>
      </c>
      <c r="F2016">
        <v>198501</v>
      </c>
      <c r="G2016">
        <v>199012</v>
      </c>
      <c r="H2016">
        <v>88</v>
      </c>
      <c r="I2016">
        <v>120</v>
      </c>
      <c r="J2016">
        <v>1590</v>
      </c>
      <c r="K2016">
        <v>750264</v>
      </c>
      <c r="L2016" t="s">
        <v>1173</v>
      </c>
      <c r="M2016" t="str">
        <f>"ANTIFREEZEEXTRA"</f>
        <v>ANTIFREEZEEXTRA</v>
      </c>
      <c r="N2016" t="str">
        <f>"Antifreeze Extra"</f>
        <v>Antifreeze Extra</v>
      </c>
      <c r="O2016" t="str">
        <f>""</f>
        <v/>
      </c>
      <c r="P2016" t="s">
        <v>1224</v>
      </c>
      <c r="Q2016" t="str">
        <f>""</f>
        <v/>
      </c>
      <c r="U2016">
        <v>3356</v>
      </c>
      <c r="V2016" t="s">
        <v>1224</v>
      </c>
      <c r="W2016" t="s">
        <v>1224</v>
      </c>
      <c r="X2016" t="s">
        <v>626</v>
      </c>
    </row>
    <row r="2017" spans="1:24">
      <c r="A2017">
        <v>13531</v>
      </c>
      <c r="B2017" t="s">
        <v>25</v>
      </c>
      <c r="C2017" t="str">
        <f t="shared" si="64"/>
        <v>INTEGRA Saloon</v>
      </c>
      <c r="D2017" t="str">
        <f t="shared" si="63"/>
        <v>1.6 i</v>
      </c>
      <c r="E2017" t="s">
        <v>26</v>
      </c>
      <c r="F2017">
        <v>198501</v>
      </c>
      <c r="G2017">
        <v>199012</v>
      </c>
      <c r="H2017">
        <v>88</v>
      </c>
      <c r="I2017">
        <v>120</v>
      </c>
      <c r="J2017">
        <v>1590</v>
      </c>
      <c r="K2017">
        <v>2861589</v>
      </c>
      <c r="L2017" t="s">
        <v>1181</v>
      </c>
      <c r="M2017" t="str">
        <f>"0603"</f>
        <v>0603</v>
      </c>
      <c r="N2017" t="str">
        <f>"0603"</f>
        <v>0603</v>
      </c>
      <c r="O2017" t="str">
        <f>""</f>
        <v/>
      </c>
      <c r="P2017" t="s">
        <v>1224</v>
      </c>
      <c r="Q2017" t="str">
        <f>""</f>
        <v/>
      </c>
      <c r="U2017">
        <v>3356</v>
      </c>
      <c r="V2017" t="s">
        <v>1224</v>
      </c>
      <c r="W2017" t="s">
        <v>1224</v>
      </c>
      <c r="X2017" t="s">
        <v>626</v>
      </c>
    </row>
    <row r="2018" spans="1:24">
      <c r="A2018">
        <v>13531</v>
      </c>
      <c r="B2018" t="s">
        <v>25</v>
      </c>
      <c r="C2018" t="str">
        <f t="shared" si="64"/>
        <v>INTEGRA Saloon</v>
      </c>
      <c r="D2018" t="str">
        <f t="shared" si="63"/>
        <v>1.6 i</v>
      </c>
      <c r="E2018" t="s">
        <v>26</v>
      </c>
      <c r="F2018">
        <v>198501</v>
      </c>
      <c r="G2018">
        <v>199012</v>
      </c>
      <c r="H2018">
        <v>88</v>
      </c>
      <c r="I2018">
        <v>120</v>
      </c>
      <c r="J2018">
        <v>1590</v>
      </c>
      <c r="K2018">
        <v>2861595</v>
      </c>
      <c r="L2018" t="s">
        <v>1181</v>
      </c>
      <c r="M2018" t="str">
        <f>"0604"</f>
        <v>0604</v>
      </c>
      <c r="N2018" t="str">
        <f>"0604"</f>
        <v>0604</v>
      </c>
      <c r="O2018" t="str">
        <f>""</f>
        <v/>
      </c>
      <c r="P2018" t="s">
        <v>1224</v>
      </c>
      <c r="Q2018" t="str">
        <f>""</f>
        <v/>
      </c>
      <c r="U2018">
        <v>3356</v>
      </c>
      <c r="V2018" t="s">
        <v>1224</v>
      </c>
      <c r="W2018" t="s">
        <v>1224</v>
      </c>
      <c r="X2018" t="s">
        <v>626</v>
      </c>
    </row>
    <row r="2019" spans="1:24">
      <c r="A2019">
        <v>13531</v>
      </c>
      <c r="B2019" t="s">
        <v>25</v>
      </c>
      <c r="C2019" t="str">
        <f t="shared" si="64"/>
        <v>INTEGRA Saloon</v>
      </c>
      <c r="D2019" t="str">
        <f t="shared" si="63"/>
        <v>1.6 i</v>
      </c>
      <c r="E2019" t="s">
        <v>26</v>
      </c>
      <c r="F2019">
        <v>198501</v>
      </c>
      <c r="G2019">
        <v>199012</v>
      </c>
      <c r="H2019">
        <v>88</v>
      </c>
      <c r="I2019">
        <v>120</v>
      </c>
      <c r="J2019">
        <v>1590</v>
      </c>
      <c r="K2019">
        <v>2861599</v>
      </c>
      <c r="L2019" t="s">
        <v>1181</v>
      </c>
      <c r="M2019" t="str">
        <f>"0605"</f>
        <v>0605</v>
      </c>
      <c r="N2019" t="str">
        <f>"0605"</f>
        <v>0605</v>
      </c>
      <c r="O2019" t="str">
        <f>""</f>
        <v/>
      </c>
      <c r="P2019" t="s">
        <v>1224</v>
      </c>
      <c r="Q2019" t="str">
        <f>""</f>
        <v/>
      </c>
      <c r="U2019">
        <v>3356</v>
      </c>
      <c r="V2019" t="s">
        <v>1224</v>
      </c>
      <c r="W2019" t="s">
        <v>1224</v>
      </c>
      <c r="X2019" t="s">
        <v>626</v>
      </c>
    </row>
    <row r="2020" spans="1:24">
      <c r="A2020">
        <v>13531</v>
      </c>
      <c r="B2020" t="s">
        <v>25</v>
      </c>
      <c r="C2020" t="str">
        <f t="shared" si="64"/>
        <v>INTEGRA Saloon</v>
      </c>
      <c r="D2020" t="str">
        <f t="shared" si="63"/>
        <v>1.6 i</v>
      </c>
      <c r="E2020" t="s">
        <v>26</v>
      </c>
      <c r="F2020">
        <v>198501</v>
      </c>
      <c r="G2020">
        <v>199012</v>
      </c>
      <c r="H2020">
        <v>88</v>
      </c>
      <c r="I2020">
        <v>120</v>
      </c>
      <c r="J2020">
        <v>1590</v>
      </c>
      <c r="K2020">
        <v>3748664</v>
      </c>
      <c r="L2020" t="s">
        <v>1185</v>
      </c>
      <c r="M2020" t="str">
        <f>"E504105"</f>
        <v>E504105</v>
      </c>
      <c r="N2020" t="str">
        <f>"E504105"</f>
        <v>E504105</v>
      </c>
      <c r="O2020" t="str">
        <f>""</f>
        <v/>
      </c>
      <c r="P2020" t="s">
        <v>1225</v>
      </c>
      <c r="Q2020" t="str">
        <f>""</f>
        <v/>
      </c>
      <c r="U2020">
        <v>3356</v>
      </c>
      <c r="V2020" t="s">
        <v>1224</v>
      </c>
      <c r="W2020" t="s">
        <v>1224</v>
      </c>
      <c r="X2020" t="s">
        <v>626</v>
      </c>
    </row>
    <row r="2021" spans="1:24">
      <c r="A2021">
        <v>13531</v>
      </c>
      <c r="B2021" t="s">
        <v>25</v>
      </c>
      <c r="C2021" t="str">
        <f t="shared" si="64"/>
        <v>INTEGRA Saloon</v>
      </c>
      <c r="D2021" t="str">
        <f t="shared" si="63"/>
        <v>1.6 i</v>
      </c>
      <c r="E2021" t="s">
        <v>26</v>
      </c>
      <c r="F2021">
        <v>198501</v>
      </c>
      <c r="G2021">
        <v>199012</v>
      </c>
      <c r="H2021">
        <v>88</v>
      </c>
      <c r="I2021">
        <v>120</v>
      </c>
      <c r="J2021">
        <v>1590</v>
      </c>
      <c r="K2021">
        <v>3748671</v>
      </c>
      <c r="L2021" t="s">
        <v>1185</v>
      </c>
      <c r="M2021" t="str">
        <f>"E504140"</f>
        <v>E504140</v>
      </c>
      <c r="N2021" t="str">
        <f>"E504140"</f>
        <v>E504140</v>
      </c>
      <c r="O2021" t="str">
        <f>""</f>
        <v/>
      </c>
      <c r="P2021" t="s">
        <v>1225</v>
      </c>
      <c r="Q2021" t="str">
        <f>""</f>
        <v/>
      </c>
      <c r="U2021">
        <v>3356</v>
      </c>
      <c r="V2021" t="s">
        <v>1224</v>
      </c>
      <c r="W2021" t="s">
        <v>1224</v>
      </c>
      <c r="X2021" t="s">
        <v>626</v>
      </c>
    </row>
    <row r="2022" spans="1:24">
      <c r="A2022">
        <v>13531</v>
      </c>
      <c r="B2022" t="s">
        <v>25</v>
      </c>
      <c r="C2022" t="str">
        <f t="shared" si="64"/>
        <v>INTEGRA Saloon</v>
      </c>
      <c r="D2022" t="str">
        <f t="shared" si="63"/>
        <v>1.6 i</v>
      </c>
      <c r="E2022" t="s">
        <v>26</v>
      </c>
      <c r="F2022">
        <v>198501</v>
      </c>
      <c r="G2022">
        <v>199012</v>
      </c>
      <c r="H2022">
        <v>88</v>
      </c>
      <c r="I2022">
        <v>120</v>
      </c>
      <c r="J2022">
        <v>1590</v>
      </c>
      <c r="K2022">
        <v>3748679</v>
      </c>
      <c r="L2022" t="s">
        <v>1185</v>
      </c>
      <c r="M2022" t="str">
        <f>"E504144"</f>
        <v>E504144</v>
      </c>
      <c r="N2022" t="str">
        <f>"E504144"</f>
        <v>E504144</v>
      </c>
      <c r="O2022" t="str">
        <f>""</f>
        <v/>
      </c>
      <c r="P2022" t="s">
        <v>1225</v>
      </c>
      <c r="Q2022" t="str">
        <f>""</f>
        <v/>
      </c>
      <c r="U2022">
        <v>3356</v>
      </c>
      <c r="V2022" t="s">
        <v>1224</v>
      </c>
      <c r="W2022" t="s">
        <v>1224</v>
      </c>
      <c r="X2022" t="s">
        <v>626</v>
      </c>
    </row>
    <row r="2023" spans="1:24">
      <c r="A2023">
        <v>13531</v>
      </c>
      <c r="B2023" t="s">
        <v>25</v>
      </c>
      <c r="C2023" t="str">
        <f t="shared" si="64"/>
        <v>INTEGRA Saloon</v>
      </c>
      <c r="D2023" t="str">
        <f t="shared" si="63"/>
        <v>1.6 i</v>
      </c>
      <c r="E2023" t="s">
        <v>26</v>
      </c>
      <c r="F2023">
        <v>198501</v>
      </c>
      <c r="G2023">
        <v>199012</v>
      </c>
      <c r="H2023">
        <v>88</v>
      </c>
      <c r="I2023">
        <v>120</v>
      </c>
      <c r="J2023">
        <v>1590</v>
      </c>
      <c r="K2023">
        <v>3748689</v>
      </c>
      <c r="L2023" t="s">
        <v>1185</v>
      </c>
      <c r="M2023" t="str">
        <f>"E504149"</f>
        <v>E504149</v>
      </c>
      <c r="N2023" t="str">
        <f>"E504149"</f>
        <v>E504149</v>
      </c>
      <c r="O2023" t="str">
        <f>""</f>
        <v/>
      </c>
      <c r="P2023" t="s">
        <v>1225</v>
      </c>
      <c r="Q2023" t="str">
        <f>""</f>
        <v/>
      </c>
      <c r="U2023">
        <v>3356</v>
      </c>
      <c r="V2023" t="s">
        <v>1224</v>
      </c>
      <c r="W2023" t="s">
        <v>1224</v>
      </c>
      <c r="X2023" t="s">
        <v>626</v>
      </c>
    </row>
    <row r="2024" spans="1:24">
      <c r="A2024">
        <v>13531</v>
      </c>
      <c r="B2024" t="s">
        <v>25</v>
      </c>
      <c r="C2024" t="str">
        <f t="shared" si="64"/>
        <v>INTEGRA Saloon</v>
      </c>
      <c r="D2024" t="str">
        <f t="shared" si="63"/>
        <v>1.6 i</v>
      </c>
      <c r="E2024" t="s">
        <v>26</v>
      </c>
      <c r="F2024">
        <v>198501</v>
      </c>
      <c r="G2024">
        <v>199012</v>
      </c>
      <c r="H2024">
        <v>88</v>
      </c>
      <c r="I2024">
        <v>120</v>
      </c>
      <c r="J2024">
        <v>1590</v>
      </c>
      <c r="K2024">
        <v>3920281</v>
      </c>
      <c r="L2024" t="s">
        <v>1187</v>
      </c>
      <c r="M2024" t="str">
        <f>"38300"</f>
        <v>38300</v>
      </c>
      <c r="N2024" t="str">
        <f>"38300"</f>
        <v>38300</v>
      </c>
      <c r="O2024" t="str">
        <f>""</f>
        <v/>
      </c>
      <c r="P2024" t="s">
        <v>1224</v>
      </c>
      <c r="Q2024" t="str">
        <f>""</f>
        <v/>
      </c>
      <c r="S2024" t="s">
        <v>1226</v>
      </c>
      <c r="U2024">
        <v>3356</v>
      </c>
      <c r="V2024" t="s">
        <v>1224</v>
      </c>
      <c r="W2024" t="s">
        <v>1224</v>
      </c>
      <c r="X2024" t="s">
        <v>626</v>
      </c>
    </row>
    <row r="2025" spans="1:24">
      <c r="A2025">
        <v>13531</v>
      </c>
      <c r="B2025" t="s">
        <v>25</v>
      </c>
      <c r="C2025" t="str">
        <f t="shared" si="64"/>
        <v>INTEGRA Saloon</v>
      </c>
      <c r="D2025" t="str">
        <f t="shared" si="63"/>
        <v>1.6 i</v>
      </c>
      <c r="E2025" t="s">
        <v>26</v>
      </c>
      <c r="F2025">
        <v>198501</v>
      </c>
      <c r="G2025">
        <v>199012</v>
      </c>
      <c r="H2025">
        <v>88</v>
      </c>
      <c r="I2025">
        <v>120</v>
      </c>
      <c r="J2025">
        <v>1590</v>
      </c>
      <c r="K2025">
        <v>4085831</v>
      </c>
      <c r="L2025" t="s">
        <v>1190</v>
      </c>
      <c r="M2025" t="str">
        <f>"1410105"</f>
        <v>1410105</v>
      </c>
      <c r="N2025" t="str">
        <f>"1410105"</f>
        <v>1410105</v>
      </c>
      <c r="O2025" t="str">
        <f>""</f>
        <v/>
      </c>
      <c r="P2025" t="s">
        <v>1224</v>
      </c>
      <c r="Q2025" t="str">
        <f>""</f>
        <v/>
      </c>
      <c r="U2025">
        <v>3356</v>
      </c>
      <c r="V2025" t="s">
        <v>1224</v>
      </c>
      <c r="W2025" t="s">
        <v>1224</v>
      </c>
      <c r="X2025" t="s">
        <v>626</v>
      </c>
    </row>
    <row r="2026" spans="1:24">
      <c r="A2026">
        <v>13531</v>
      </c>
      <c r="B2026" t="s">
        <v>25</v>
      </c>
      <c r="C2026" t="str">
        <f t="shared" si="64"/>
        <v>INTEGRA Saloon</v>
      </c>
      <c r="D2026" t="str">
        <f t="shared" si="63"/>
        <v>1.6 i</v>
      </c>
      <c r="E2026" t="s">
        <v>26</v>
      </c>
      <c r="F2026">
        <v>198501</v>
      </c>
      <c r="G2026">
        <v>199012</v>
      </c>
      <c r="H2026">
        <v>88</v>
      </c>
      <c r="I2026">
        <v>120</v>
      </c>
      <c r="J2026">
        <v>1590</v>
      </c>
      <c r="K2026">
        <v>878189</v>
      </c>
      <c r="L2026" t="s">
        <v>1176</v>
      </c>
      <c r="M2026" t="str">
        <f>"62170"</f>
        <v>62170</v>
      </c>
      <c r="N2026" t="str">
        <f>"62170"</f>
        <v>62170</v>
      </c>
      <c r="O2026" t="str">
        <f>""</f>
        <v/>
      </c>
      <c r="P2026" t="s">
        <v>1227</v>
      </c>
      <c r="Q2026" t="str">
        <f>""</f>
        <v/>
      </c>
      <c r="U2026">
        <v>3357</v>
      </c>
      <c r="V2026" t="s">
        <v>1227</v>
      </c>
      <c r="W2026" t="s">
        <v>1227</v>
      </c>
      <c r="X2026" t="s">
        <v>224</v>
      </c>
    </row>
    <row r="2027" spans="1:24">
      <c r="A2027">
        <v>13531</v>
      </c>
      <c r="B2027" t="s">
        <v>25</v>
      </c>
      <c r="C2027" t="str">
        <f t="shared" si="64"/>
        <v>INTEGRA Saloon</v>
      </c>
      <c r="D2027" t="str">
        <f t="shared" si="63"/>
        <v>1.6 i</v>
      </c>
      <c r="E2027" t="s">
        <v>26</v>
      </c>
      <c r="F2027">
        <v>198501</v>
      </c>
      <c r="G2027">
        <v>199012</v>
      </c>
      <c r="H2027">
        <v>88</v>
      </c>
      <c r="I2027">
        <v>120</v>
      </c>
      <c r="J2027">
        <v>1590</v>
      </c>
      <c r="K2027">
        <v>922616</v>
      </c>
      <c r="L2027" t="s">
        <v>1187</v>
      </c>
      <c r="M2027" t="str">
        <f>"27400"</f>
        <v>27400</v>
      </c>
      <c r="N2027" t="str">
        <f>"27400"</f>
        <v>27400</v>
      </c>
      <c r="O2027" t="str">
        <f>""</f>
        <v/>
      </c>
      <c r="P2027" t="s">
        <v>1227</v>
      </c>
      <c r="Q2027" t="str">
        <f>""</f>
        <v/>
      </c>
      <c r="U2027">
        <v>3357</v>
      </c>
      <c r="V2027" t="s">
        <v>1227</v>
      </c>
      <c r="W2027" t="s">
        <v>1227</v>
      </c>
      <c r="X2027" t="s">
        <v>224</v>
      </c>
    </row>
    <row r="2028" spans="1:24">
      <c r="A2028">
        <v>13531</v>
      </c>
      <c r="B2028" t="s">
        <v>25</v>
      </c>
      <c r="C2028" t="str">
        <f t="shared" si="64"/>
        <v>INTEGRA Saloon</v>
      </c>
      <c r="D2028" t="str">
        <f t="shared" si="63"/>
        <v>1.6 i</v>
      </c>
      <c r="E2028" t="s">
        <v>26</v>
      </c>
      <c r="F2028">
        <v>198501</v>
      </c>
      <c r="G2028">
        <v>199012</v>
      </c>
      <c r="H2028">
        <v>88</v>
      </c>
      <c r="I2028">
        <v>120</v>
      </c>
      <c r="J2028">
        <v>1590</v>
      </c>
      <c r="K2028">
        <v>2738747</v>
      </c>
      <c r="L2028" t="s">
        <v>1177</v>
      </c>
      <c r="M2028" t="str">
        <f>"5038"</f>
        <v>5038</v>
      </c>
      <c r="N2028" t="str">
        <f>"5038"</f>
        <v>5038</v>
      </c>
      <c r="O2028" t="str">
        <f>""</f>
        <v/>
      </c>
      <c r="P2028" t="s">
        <v>1228</v>
      </c>
      <c r="Q2028" t="str">
        <f>""</f>
        <v/>
      </c>
      <c r="U2028">
        <v>3357</v>
      </c>
      <c r="V2028" t="s">
        <v>1227</v>
      </c>
      <c r="W2028" t="s">
        <v>1227</v>
      </c>
      <c r="X2028" t="s">
        <v>224</v>
      </c>
    </row>
    <row r="2029" spans="1:24">
      <c r="A2029">
        <v>13531</v>
      </c>
      <c r="B2029" t="s">
        <v>25</v>
      </c>
      <c r="C2029" t="str">
        <f t="shared" si="64"/>
        <v>INTEGRA Saloon</v>
      </c>
      <c r="D2029" t="str">
        <f t="shared" si="63"/>
        <v>1.6 i</v>
      </c>
      <c r="E2029" t="s">
        <v>26</v>
      </c>
      <c r="F2029">
        <v>198501</v>
      </c>
      <c r="G2029">
        <v>199012</v>
      </c>
      <c r="H2029">
        <v>88</v>
      </c>
      <c r="I2029">
        <v>120</v>
      </c>
      <c r="J2029">
        <v>1590</v>
      </c>
      <c r="K2029">
        <v>2738748</v>
      </c>
      <c r="L2029" t="s">
        <v>1177</v>
      </c>
      <c r="M2029" t="str">
        <f>"5039"</f>
        <v>5039</v>
      </c>
      <c r="N2029" t="str">
        <f>"5039"</f>
        <v>5039</v>
      </c>
      <c r="O2029" t="str">
        <f>""</f>
        <v/>
      </c>
      <c r="P2029" t="s">
        <v>1228</v>
      </c>
      <c r="Q2029" t="str">
        <f>""</f>
        <v/>
      </c>
      <c r="U2029">
        <v>3357</v>
      </c>
      <c r="V2029" t="s">
        <v>1227</v>
      </c>
      <c r="W2029" t="s">
        <v>1227</v>
      </c>
      <c r="X2029" t="s">
        <v>224</v>
      </c>
    </row>
    <row r="2030" spans="1:24">
      <c r="A2030">
        <v>13531</v>
      </c>
      <c r="B2030" t="s">
        <v>25</v>
      </c>
      <c r="C2030" t="str">
        <f t="shared" si="64"/>
        <v>INTEGRA Saloon</v>
      </c>
      <c r="D2030" t="str">
        <f t="shared" si="63"/>
        <v>1.6 i</v>
      </c>
      <c r="E2030" t="s">
        <v>26</v>
      </c>
      <c r="F2030">
        <v>198501</v>
      </c>
      <c r="G2030">
        <v>199012</v>
      </c>
      <c r="H2030">
        <v>88</v>
      </c>
      <c r="I2030">
        <v>120</v>
      </c>
      <c r="J2030">
        <v>1590</v>
      </c>
      <c r="K2030">
        <v>2739514</v>
      </c>
      <c r="L2030" t="s">
        <v>1180</v>
      </c>
      <c r="M2030" t="str">
        <f>"5038"</f>
        <v>5038</v>
      </c>
      <c r="N2030" t="str">
        <f>"5038"</f>
        <v>5038</v>
      </c>
      <c r="O2030" t="str">
        <f>""</f>
        <v/>
      </c>
      <c r="P2030" t="s">
        <v>1228</v>
      </c>
      <c r="Q2030" t="str">
        <f>""</f>
        <v/>
      </c>
      <c r="U2030">
        <v>3357</v>
      </c>
      <c r="V2030" t="s">
        <v>1227</v>
      </c>
      <c r="W2030" t="s">
        <v>1227</v>
      </c>
      <c r="X2030" t="s">
        <v>224</v>
      </c>
    </row>
    <row r="2031" spans="1:24">
      <c r="A2031">
        <v>13531</v>
      </c>
      <c r="B2031" t="s">
        <v>25</v>
      </c>
      <c r="C2031" t="str">
        <f t="shared" si="64"/>
        <v>INTEGRA Saloon</v>
      </c>
      <c r="D2031" t="str">
        <f t="shared" si="63"/>
        <v>1.6 i</v>
      </c>
      <c r="E2031" t="s">
        <v>26</v>
      </c>
      <c r="F2031">
        <v>198501</v>
      </c>
      <c r="G2031">
        <v>199012</v>
      </c>
      <c r="H2031">
        <v>88</v>
      </c>
      <c r="I2031">
        <v>120</v>
      </c>
      <c r="J2031">
        <v>1590</v>
      </c>
      <c r="K2031">
        <v>2739515</v>
      </c>
      <c r="L2031" t="s">
        <v>1180</v>
      </c>
      <c r="M2031" t="str">
        <f>"5039"</f>
        <v>5039</v>
      </c>
      <c r="N2031" t="str">
        <f>"5039"</f>
        <v>5039</v>
      </c>
      <c r="O2031" t="str">
        <f>""</f>
        <v/>
      </c>
      <c r="P2031" t="s">
        <v>1228</v>
      </c>
      <c r="Q2031" t="str">
        <f>""</f>
        <v/>
      </c>
      <c r="U2031">
        <v>3357</v>
      </c>
      <c r="V2031" t="s">
        <v>1227</v>
      </c>
      <c r="W2031" t="s">
        <v>1227</v>
      </c>
      <c r="X2031" t="s">
        <v>224</v>
      </c>
    </row>
    <row r="2032" spans="1:24">
      <c r="A2032">
        <v>13531</v>
      </c>
      <c r="B2032" t="s">
        <v>25</v>
      </c>
      <c r="C2032" t="str">
        <f t="shared" si="64"/>
        <v>INTEGRA Saloon</v>
      </c>
      <c r="D2032" t="str">
        <f t="shared" si="63"/>
        <v>1.6 i</v>
      </c>
      <c r="E2032" t="s">
        <v>26</v>
      </c>
      <c r="F2032">
        <v>198501</v>
      </c>
      <c r="G2032">
        <v>199012</v>
      </c>
      <c r="H2032">
        <v>88</v>
      </c>
      <c r="I2032">
        <v>120</v>
      </c>
      <c r="J2032">
        <v>1590</v>
      </c>
      <c r="K2032">
        <v>2861619</v>
      </c>
      <c r="L2032" t="s">
        <v>1181</v>
      </c>
      <c r="M2032" t="str">
        <f>"0711"</f>
        <v>0711</v>
      </c>
      <c r="N2032" t="str">
        <f>"0711"</f>
        <v>0711</v>
      </c>
      <c r="O2032" t="str">
        <f>""</f>
        <v/>
      </c>
      <c r="P2032" t="s">
        <v>1227</v>
      </c>
      <c r="Q2032" t="str">
        <f>""</f>
        <v/>
      </c>
      <c r="U2032">
        <v>3357</v>
      </c>
      <c r="V2032" t="s">
        <v>1227</v>
      </c>
      <c r="W2032" t="s">
        <v>1227</v>
      </c>
      <c r="X2032" t="s">
        <v>224</v>
      </c>
    </row>
    <row r="2033" spans="1:25">
      <c r="A2033">
        <v>13531</v>
      </c>
      <c r="B2033" t="s">
        <v>25</v>
      </c>
      <c r="C2033" t="str">
        <f t="shared" si="64"/>
        <v>INTEGRA Saloon</v>
      </c>
      <c r="D2033" t="str">
        <f t="shared" si="63"/>
        <v>1.6 i</v>
      </c>
      <c r="E2033" t="s">
        <v>26</v>
      </c>
      <c r="F2033">
        <v>198501</v>
      </c>
      <c r="G2033">
        <v>199012</v>
      </c>
      <c r="H2033">
        <v>88</v>
      </c>
      <c r="I2033">
        <v>120</v>
      </c>
      <c r="J2033">
        <v>1590</v>
      </c>
      <c r="K2033">
        <v>2861624</v>
      </c>
      <c r="L2033" t="s">
        <v>1181</v>
      </c>
      <c r="M2033" t="str">
        <f>"0712"</f>
        <v>0712</v>
      </c>
      <c r="N2033" t="str">
        <f>"0712"</f>
        <v>0712</v>
      </c>
      <c r="O2033" t="str">
        <f>""</f>
        <v/>
      </c>
      <c r="P2033" t="s">
        <v>1227</v>
      </c>
      <c r="Q2033" t="str">
        <f>""</f>
        <v/>
      </c>
      <c r="U2033">
        <v>3357</v>
      </c>
      <c r="V2033" t="s">
        <v>1227</v>
      </c>
      <c r="W2033" t="s">
        <v>1227</v>
      </c>
      <c r="X2033" t="s">
        <v>224</v>
      </c>
    </row>
    <row r="2034" spans="1:25">
      <c r="A2034">
        <v>13531</v>
      </c>
      <c r="B2034" t="s">
        <v>25</v>
      </c>
      <c r="C2034" t="str">
        <f t="shared" si="64"/>
        <v>INTEGRA Saloon</v>
      </c>
      <c r="D2034" t="str">
        <f t="shared" si="63"/>
        <v>1.6 i</v>
      </c>
      <c r="E2034" t="s">
        <v>26</v>
      </c>
      <c r="F2034">
        <v>198501</v>
      </c>
      <c r="G2034">
        <v>199012</v>
      </c>
      <c r="H2034">
        <v>88</v>
      </c>
      <c r="I2034">
        <v>120</v>
      </c>
      <c r="J2034">
        <v>1590</v>
      </c>
      <c r="K2034">
        <v>2861974</v>
      </c>
      <c r="L2034" t="s">
        <v>1181</v>
      </c>
      <c r="M2034" t="str">
        <f>"BRAKEFLUIDDOT4"</f>
        <v>BRAKEFLUIDDOT4</v>
      </c>
      <c r="N2034" t="str">
        <f>"Brake Fluid DOT 4"</f>
        <v>Brake Fluid DOT 4</v>
      </c>
      <c r="O2034" t="str">
        <f>""</f>
        <v/>
      </c>
      <c r="P2034" t="s">
        <v>1228</v>
      </c>
      <c r="Q2034" t="str">
        <f>""</f>
        <v/>
      </c>
      <c r="S2034" t="s">
        <v>1229</v>
      </c>
      <c r="U2034">
        <v>3357</v>
      </c>
      <c r="V2034" t="s">
        <v>1227</v>
      </c>
      <c r="W2034" t="s">
        <v>1227</v>
      </c>
      <c r="X2034" t="s">
        <v>224</v>
      </c>
    </row>
    <row r="2035" spans="1:25">
      <c r="A2035">
        <v>13531</v>
      </c>
      <c r="B2035" t="s">
        <v>25</v>
      </c>
      <c r="C2035" t="str">
        <f t="shared" si="64"/>
        <v>INTEGRA Saloon</v>
      </c>
      <c r="D2035" t="str">
        <f t="shared" si="63"/>
        <v>1.6 i</v>
      </c>
      <c r="E2035" t="s">
        <v>26</v>
      </c>
      <c r="F2035">
        <v>198501</v>
      </c>
      <c r="G2035">
        <v>199012</v>
      </c>
      <c r="H2035">
        <v>88</v>
      </c>
      <c r="I2035">
        <v>120</v>
      </c>
      <c r="J2035">
        <v>1590</v>
      </c>
      <c r="K2035">
        <v>2862015</v>
      </c>
      <c r="L2035" t="s">
        <v>1181</v>
      </c>
      <c r="M2035" t="str">
        <f>"REACTPERFORMANCEDOT4"</f>
        <v>REACTPERFORMANCEDOT4</v>
      </c>
      <c r="N2035" t="str">
        <f>"React Performance DOT4"</f>
        <v>React Performance DOT4</v>
      </c>
      <c r="O2035" t="str">
        <f>""</f>
        <v/>
      </c>
      <c r="P2035" t="s">
        <v>1228</v>
      </c>
      <c r="Q2035" t="str">
        <f>""</f>
        <v/>
      </c>
      <c r="S2035" t="s">
        <v>1229</v>
      </c>
      <c r="U2035">
        <v>3357</v>
      </c>
      <c r="V2035" t="s">
        <v>1227</v>
      </c>
      <c r="W2035" t="s">
        <v>1227</v>
      </c>
      <c r="X2035" t="s">
        <v>224</v>
      </c>
    </row>
    <row r="2036" spans="1:25">
      <c r="A2036">
        <v>13531</v>
      </c>
      <c r="B2036" t="s">
        <v>25</v>
      </c>
      <c r="C2036" t="str">
        <f t="shared" si="64"/>
        <v>INTEGRA Saloon</v>
      </c>
      <c r="D2036" t="str">
        <f t="shared" si="63"/>
        <v>1.6 i</v>
      </c>
      <c r="E2036" t="s">
        <v>26</v>
      </c>
      <c r="F2036">
        <v>198501</v>
      </c>
      <c r="G2036">
        <v>199012</v>
      </c>
      <c r="H2036">
        <v>88</v>
      </c>
      <c r="I2036">
        <v>120</v>
      </c>
      <c r="J2036">
        <v>1590</v>
      </c>
      <c r="K2036">
        <v>2862016</v>
      </c>
      <c r="L2036" t="s">
        <v>1181</v>
      </c>
      <c r="M2036" t="str">
        <f>"REACTSRFRACING"</f>
        <v>REACTSRFRACING</v>
      </c>
      <c r="N2036" t="str">
        <f>"React SRF Racing"</f>
        <v>React SRF Racing</v>
      </c>
      <c r="O2036" t="str">
        <f>""</f>
        <v/>
      </c>
      <c r="P2036" t="s">
        <v>1228</v>
      </c>
      <c r="Q2036" t="str">
        <f>""</f>
        <v/>
      </c>
      <c r="S2036" t="s">
        <v>1229</v>
      </c>
      <c r="U2036">
        <v>3357</v>
      </c>
      <c r="V2036" t="s">
        <v>1227</v>
      </c>
      <c r="W2036" t="s">
        <v>1227</v>
      </c>
      <c r="X2036" t="s">
        <v>224</v>
      </c>
    </row>
    <row r="2037" spans="1:25">
      <c r="A2037">
        <v>13531</v>
      </c>
      <c r="B2037" t="s">
        <v>25</v>
      </c>
      <c r="C2037" t="str">
        <f t="shared" si="64"/>
        <v>INTEGRA Saloon</v>
      </c>
      <c r="D2037" t="str">
        <f t="shared" si="63"/>
        <v>1.6 i</v>
      </c>
      <c r="E2037" t="s">
        <v>26</v>
      </c>
      <c r="F2037">
        <v>198501</v>
      </c>
      <c r="G2037">
        <v>199012</v>
      </c>
      <c r="H2037">
        <v>88</v>
      </c>
      <c r="I2037">
        <v>120</v>
      </c>
      <c r="J2037">
        <v>1590</v>
      </c>
      <c r="K2037">
        <v>3634200</v>
      </c>
      <c r="L2037" t="s">
        <v>1184</v>
      </c>
      <c r="M2037" t="str">
        <f>"VTBRAKEFLDOT4"</f>
        <v>VTBRAKEFLDOT4</v>
      </c>
      <c r="N2037" t="str">
        <f>"VTBRAKEFLDOT4"</f>
        <v>VTBRAKEFLDOT4</v>
      </c>
      <c r="O2037" t="str">
        <f>""</f>
        <v/>
      </c>
      <c r="P2037" t="s">
        <v>1228</v>
      </c>
      <c r="Q2037" t="str">
        <f>""</f>
        <v/>
      </c>
      <c r="U2037">
        <v>3357</v>
      </c>
      <c r="V2037" t="s">
        <v>1227</v>
      </c>
      <c r="W2037" t="s">
        <v>1227</v>
      </c>
      <c r="X2037" t="s">
        <v>224</v>
      </c>
    </row>
    <row r="2038" spans="1:25">
      <c r="A2038">
        <v>13531</v>
      </c>
      <c r="B2038" t="s">
        <v>25</v>
      </c>
      <c r="C2038" t="str">
        <f t="shared" si="64"/>
        <v>INTEGRA Saloon</v>
      </c>
      <c r="D2038" t="str">
        <f t="shared" si="63"/>
        <v>1.6 i</v>
      </c>
      <c r="E2038" t="s">
        <v>26</v>
      </c>
      <c r="F2038">
        <v>198501</v>
      </c>
      <c r="G2038">
        <v>199012</v>
      </c>
      <c r="H2038">
        <v>88</v>
      </c>
      <c r="I2038">
        <v>120</v>
      </c>
      <c r="J2038">
        <v>1590</v>
      </c>
      <c r="K2038">
        <v>3748693</v>
      </c>
      <c r="L2038" t="s">
        <v>1185</v>
      </c>
      <c r="M2038" t="str">
        <f>"E801300"</f>
        <v>E801300</v>
      </c>
      <c r="N2038" t="str">
        <f>"E801300"</f>
        <v>E801300</v>
      </c>
      <c r="O2038" t="str">
        <f>""</f>
        <v/>
      </c>
      <c r="P2038" t="s">
        <v>1228</v>
      </c>
      <c r="Q2038" t="str">
        <f>""</f>
        <v/>
      </c>
      <c r="U2038">
        <v>3357</v>
      </c>
      <c r="V2038" t="s">
        <v>1227</v>
      </c>
      <c r="W2038" t="s">
        <v>1227</v>
      </c>
      <c r="X2038" t="s">
        <v>224</v>
      </c>
    </row>
    <row r="2039" spans="1:25">
      <c r="A2039">
        <v>13531</v>
      </c>
      <c r="B2039" t="s">
        <v>25</v>
      </c>
      <c r="C2039" t="str">
        <f t="shared" si="64"/>
        <v>INTEGRA Saloon</v>
      </c>
      <c r="D2039" t="str">
        <f t="shared" ref="D2039:D2053" si="65">"1.6 i"</f>
        <v>1.6 i</v>
      </c>
      <c r="E2039" t="s">
        <v>26</v>
      </c>
      <c r="F2039">
        <v>198501</v>
      </c>
      <c r="G2039">
        <v>199012</v>
      </c>
      <c r="H2039">
        <v>88</v>
      </c>
      <c r="I2039">
        <v>120</v>
      </c>
      <c r="J2039">
        <v>1590</v>
      </c>
      <c r="K2039">
        <v>3748699</v>
      </c>
      <c r="L2039" t="s">
        <v>1185</v>
      </c>
      <c r="M2039" t="str">
        <f>"E801400"</f>
        <v>E801400</v>
      </c>
      <c r="N2039" t="str">
        <f>"E801400"</f>
        <v>E801400</v>
      </c>
      <c r="O2039" t="str">
        <f>""</f>
        <v/>
      </c>
      <c r="P2039" t="s">
        <v>1228</v>
      </c>
      <c r="Q2039" t="str">
        <f>""</f>
        <v/>
      </c>
      <c r="U2039">
        <v>3357</v>
      </c>
      <c r="V2039" t="s">
        <v>1227</v>
      </c>
      <c r="W2039" t="s">
        <v>1227</v>
      </c>
      <c r="X2039" t="s">
        <v>224</v>
      </c>
    </row>
    <row r="2040" spans="1:25">
      <c r="A2040">
        <v>13531</v>
      </c>
      <c r="B2040" t="s">
        <v>25</v>
      </c>
      <c r="C2040" t="str">
        <f t="shared" si="64"/>
        <v>INTEGRA Saloon</v>
      </c>
      <c r="D2040" t="str">
        <f t="shared" si="65"/>
        <v>1.6 i</v>
      </c>
      <c r="E2040" t="s">
        <v>26</v>
      </c>
      <c r="F2040">
        <v>198501</v>
      </c>
      <c r="G2040">
        <v>199012</v>
      </c>
      <c r="H2040">
        <v>88</v>
      </c>
      <c r="I2040">
        <v>120</v>
      </c>
      <c r="J2040">
        <v>1590</v>
      </c>
      <c r="K2040">
        <v>3748706</v>
      </c>
      <c r="L2040" t="s">
        <v>1185</v>
      </c>
      <c r="M2040" t="str">
        <f>"E801410"</f>
        <v>E801410</v>
      </c>
      <c r="N2040" t="str">
        <f>"E801410"</f>
        <v>E801410</v>
      </c>
      <c r="O2040" t="str">
        <f>""</f>
        <v/>
      </c>
      <c r="P2040" t="s">
        <v>1228</v>
      </c>
      <c r="Q2040" t="str">
        <f>""</f>
        <v/>
      </c>
      <c r="U2040">
        <v>3357</v>
      </c>
      <c r="V2040" t="s">
        <v>1227</v>
      </c>
      <c r="W2040" t="s">
        <v>1227</v>
      </c>
      <c r="X2040" t="s">
        <v>224</v>
      </c>
    </row>
    <row r="2041" spans="1:25">
      <c r="A2041">
        <v>13531</v>
      </c>
      <c r="B2041" t="s">
        <v>25</v>
      </c>
      <c r="C2041" t="str">
        <f t="shared" si="64"/>
        <v>INTEGRA Saloon</v>
      </c>
      <c r="D2041" t="str">
        <f t="shared" si="65"/>
        <v>1.6 i</v>
      </c>
      <c r="E2041" t="s">
        <v>26</v>
      </c>
      <c r="F2041">
        <v>198501</v>
      </c>
      <c r="G2041">
        <v>199012</v>
      </c>
      <c r="H2041">
        <v>88</v>
      </c>
      <c r="I2041">
        <v>120</v>
      </c>
      <c r="J2041">
        <v>1590</v>
      </c>
      <c r="K2041">
        <v>3920261</v>
      </c>
      <c r="L2041" t="s">
        <v>1187</v>
      </c>
      <c r="M2041" t="str">
        <f>"27250"</f>
        <v>27250</v>
      </c>
      <c r="N2041" t="str">
        <f>"27250"</f>
        <v>27250</v>
      </c>
      <c r="O2041" t="str">
        <f>""</f>
        <v/>
      </c>
      <c r="P2041" t="s">
        <v>1227</v>
      </c>
      <c r="Q2041" t="str">
        <f>""</f>
        <v/>
      </c>
      <c r="U2041">
        <v>3357</v>
      </c>
      <c r="V2041" t="s">
        <v>1227</v>
      </c>
      <c r="W2041" t="s">
        <v>1227</v>
      </c>
      <c r="X2041" t="s">
        <v>224</v>
      </c>
    </row>
    <row r="2042" spans="1:25">
      <c r="A2042">
        <v>13531</v>
      </c>
      <c r="B2042" t="s">
        <v>25</v>
      </c>
      <c r="C2042" t="str">
        <f t="shared" si="64"/>
        <v>INTEGRA Saloon</v>
      </c>
      <c r="D2042" t="str">
        <f t="shared" si="65"/>
        <v>1.6 i</v>
      </c>
      <c r="E2042" t="s">
        <v>26</v>
      </c>
      <c r="F2042">
        <v>198501</v>
      </c>
      <c r="G2042">
        <v>199012</v>
      </c>
      <c r="H2042">
        <v>88</v>
      </c>
      <c r="I2042">
        <v>120</v>
      </c>
      <c r="J2042">
        <v>1590</v>
      </c>
      <c r="K2042">
        <v>4085726</v>
      </c>
      <c r="L2042" t="s">
        <v>1190</v>
      </c>
      <c r="M2042" t="str">
        <f>"1350601"</f>
        <v>1350601</v>
      </c>
      <c r="N2042" t="str">
        <f>"1350601"</f>
        <v>1350601</v>
      </c>
      <c r="O2042" t="str">
        <f>""</f>
        <v/>
      </c>
      <c r="P2042" t="s">
        <v>1228</v>
      </c>
      <c r="Q2042" t="str">
        <f>""</f>
        <v/>
      </c>
      <c r="T2042" s="1" t="s">
        <v>1230</v>
      </c>
      <c r="U2042">
        <v>3357</v>
      </c>
      <c r="V2042" t="s">
        <v>1227</v>
      </c>
      <c r="W2042" t="s">
        <v>1227</v>
      </c>
      <c r="X2042" t="s">
        <v>224</v>
      </c>
    </row>
    <row r="2043" spans="1:25">
      <c r="A2043">
        <v>13531</v>
      </c>
      <c r="B2043" t="s">
        <v>25</v>
      </c>
      <c r="C2043" t="str">
        <f t="shared" si="64"/>
        <v>INTEGRA Saloon</v>
      </c>
      <c r="D2043" t="str">
        <f t="shared" si="65"/>
        <v>1.6 i</v>
      </c>
      <c r="E2043" t="s">
        <v>26</v>
      </c>
      <c r="F2043">
        <v>198501</v>
      </c>
      <c r="G2043">
        <v>199012</v>
      </c>
      <c r="H2043">
        <v>88</v>
      </c>
      <c r="I2043">
        <v>120</v>
      </c>
      <c r="J2043">
        <v>1590</v>
      </c>
      <c r="K2043">
        <v>2592489</v>
      </c>
      <c r="L2043" t="s">
        <v>1453</v>
      </c>
      <c r="M2043" t="str">
        <f>"73056"</f>
        <v>73056</v>
      </c>
      <c r="N2043" t="str">
        <f>"7.3056"</f>
        <v>7.3056</v>
      </c>
      <c r="O2043" t="str">
        <f>"EPS 1.830.056"</f>
        <v>EPS 1.830.056</v>
      </c>
      <c r="P2043" t="s">
        <v>1567</v>
      </c>
      <c r="Q2043" t="str">
        <f>"8012510040638"</f>
        <v>8012510040638</v>
      </c>
      <c r="S2043" t="s">
        <v>1632</v>
      </c>
      <c r="T2043" s="1" t="s">
        <v>1568</v>
      </c>
      <c r="U2043">
        <v>3944</v>
      </c>
      <c r="V2043" t="s">
        <v>1073</v>
      </c>
      <c r="W2043" t="s">
        <v>1077</v>
      </c>
      <c r="X2043" t="s">
        <v>1624</v>
      </c>
      <c r="Y2043" t="s">
        <v>1078</v>
      </c>
    </row>
    <row r="2044" spans="1:25">
      <c r="A2044">
        <v>13531</v>
      </c>
      <c r="B2044" t="s">
        <v>25</v>
      </c>
      <c r="C2044" t="str">
        <f t="shared" si="64"/>
        <v>INTEGRA Saloon</v>
      </c>
      <c r="D2044" t="str">
        <f t="shared" si="65"/>
        <v>1.6 i</v>
      </c>
      <c r="E2044" t="s">
        <v>26</v>
      </c>
      <c r="F2044">
        <v>198501</v>
      </c>
      <c r="G2044">
        <v>199012</v>
      </c>
      <c r="H2044">
        <v>88</v>
      </c>
      <c r="I2044">
        <v>120</v>
      </c>
      <c r="J2044">
        <v>1590</v>
      </c>
      <c r="K2044">
        <v>2592565</v>
      </c>
      <c r="L2044" t="s">
        <v>1453</v>
      </c>
      <c r="M2044" t="str">
        <f>"73198"</f>
        <v>73198</v>
      </c>
      <c r="N2044" t="str">
        <f>"7.3198"</f>
        <v>7.3198</v>
      </c>
      <c r="O2044" t="str">
        <f>"EPS 1.830.198"</f>
        <v>EPS 1.830.198</v>
      </c>
      <c r="P2044" t="s">
        <v>1569</v>
      </c>
      <c r="Q2044" t="str">
        <f>"8012510070772"</f>
        <v>8012510070772</v>
      </c>
      <c r="S2044" t="s">
        <v>1683</v>
      </c>
      <c r="T2044" s="1" t="s">
        <v>1570</v>
      </c>
      <c r="U2044">
        <v>3944</v>
      </c>
      <c r="V2044" t="s">
        <v>1073</v>
      </c>
      <c r="W2044" t="s">
        <v>1077</v>
      </c>
      <c r="X2044" t="s">
        <v>1624</v>
      </c>
      <c r="Y2044" t="s">
        <v>1078</v>
      </c>
    </row>
    <row r="2045" spans="1:25">
      <c r="A2045">
        <v>13531</v>
      </c>
      <c r="B2045" t="s">
        <v>25</v>
      </c>
      <c r="C2045" t="str">
        <f t="shared" si="64"/>
        <v>INTEGRA Saloon</v>
      </c>
      <c r="D2045" t="str">
        <f t="shared" si="65"/>
        <v>1.6 i</v>
      </c>
      <c r="E2045" t="s">
        <v>26</v>
      </c>
      <c r="F2045">
        <v>198501</v>
      </c>
      <c r="G2045">
        <v>199012</v>
      </c>
      <c r="H2045">
        <v>88</v>
      </c>
      <c r="I2045">
        <v>120</v>
      </c>
      <c r="J2045">
        <v>1590</v>
      </c>
      <c r="K2045">
        <v>2706981</v>
      </c>
      <c r="L2045" t="s">
        <v>1458</v>
      </c>
      <c r="M2045" t="str">
        <f>"V26720002"</f>
        <v>V26720002</v>
      </c>
      <c r="N2045" t="str">
        <f>"V26-72-0002"</f>
        <v>V26-72-0002</v>
      </c>
      <c r="O2045" t="str">
        <f>""</f>
        <v/>
      </c>
      <c r="P2045" t="s">
        <v>1567</v>
      </c>
      <c r="Q2045" t="str">
        <f>"4046001370090"</f>
        <v>4046001370090</v>
      </c>
      <c r="S2045" t="s">
        <v>1683</v>
      </c>
      <c r="T2045" s="1" t="s">
        <v>1571</v>
      </c>
      <c r="U2045">
        <v>3944</v>
      </c>
      <c r="V2045" t="s">
        <v>1073</v>
      </c>
      <c r="W2045" t="s">
        <v>1077</v>
      </c>
      <c r="X2045" t="s">
        <v>1624</v>
      </c>
      <c r="Y2045" t="s">
        <v>1078</v>
      </c>
    </row>
    <row r="2046" spans="1:25">
      <c r="A2046">
        <v>13531</v>
      </c>
      <c r="B2046" t="s">
        <v>25</v>
      </c>
      <c r="C2046" t="str">
        <f t="shared" si="64"/>
        <v>INTEGRA Saloon</v>
      </c>
      <c r="D2046" t="str">
        <f t="shared" si="65"/>
        <v>1.6 i</v>
      </c>
      <c r="E2046" t="s">
        <v>26</v>
      </c>
      <c r="F2046">
        <v>198501</v>
      </c>
      <c r="G2046">
        <v>199012</v>
      </c>
      <c r="H2046">
        <v>88</v>
      </c>
      <c r="I2046">
        <v>120</v>
      </c>
      <c r="J2046">
        <v>1590</v>
      </c>
      <c r="K2046">
        <v>2987812</v>
      </c>
      <c r="L2046" t="s">
        <v>1528</v>
      </c>
      <c r="M2046" t="str">
        <f>"33450"</f>
        <v>33450</v>
      </c>
      <c r="N2046" t="str">
        <f>"33450"</f>
        <v>33450</v>
      </c>
      <c r="O2046" t="str">
        <f>""</f>
        <v/>
      </c>
      <c r="P2046" t="s">
        <v>1625</v>
      </c>
      <c r="Q2046" t="str">
        <f>"8435050615058"</f>
        <v>8435050615058</v>
      </c>
      <c r="R2046" t="s">
        <v>1626</v>
      </c>
      <c r="S2046" t="s">
        <v>1253</v>
      </c>
      <c r="T2046" t="s">
        <v>1759</v>
      </c>
      <c r="U2046">
        <v>3944</v>
      </c>
      <c r="V2046" t="s">
        <v>1073</v>
      </c>
      <c r="W2046" t="s">
        <v>1077</v>
      </c>
      <c r="X2046" t="s">
        <v>1624</v>
      </c>
      <c r="Y2046" t="s">
        <v>1078</v>
      </c>
    </row>
    <row r="2047" spans="1:25">
      <c r="A2047">
        <v>13531</v>
      </c>
      <c r="B2047" t="s">
        <v>25</v>
      </c>
      <c r="C2047" t="str">
        <f t="shared" si="64"/>
        <v>INTEGRA Saloon</v>
      </c>
      <c r="D2047" t="str">
        <f t="shared" si="65"/>
        <v>1.6 i</v>
      </c>
      <c r="E2047" t="s">
        <v>26</v>
      </c>
      <c r="F2047">
        <v>198501</v>
      </c>
      <c r="G2047">
        <v>199012</v>
      </c>
      <c r="H2047">
        <v>88</v>
      </c>
      <c r="I2047">
        <v>120</v>
      </c>
      <c r="J2047">
        <v>1590</v>
      </c>
      <c r="K2047">
        <v>2671745</v>
      </c>
      <c r="L2047" t="s">
        <v>1235</v>
      </c>
      <c r="M2047" t="str">
        <f>"120599"</f>
        <v>120599</v>
      </c>
      <c r="N2047" t="str">
        <f>"120599"</f>
        <v>120599</v>
      </c>
      <c r="O2047" t="str">
        <f>""</f>
        <v/>
      </c>
      <c r="P2047" t="s">
        <v>1236</v>
      </c>
      <c r="Q2047" t="str">
        <f>""</f>
        <v/>
      </c>
      <c r="U2047">
        <v>5171</v>
      </c>
      <c r="V2047" t="s">
        <v>1236</v>
      </c>
      <c r="W2047" t="s">
        <v>1236</v>
      </c>
      <c r="X2047" t="s">
        <v>1237</v>
      </c>
    </row>
    <row r="2048" spans="1:25">
      <c r="A2048">
        <v>13531</v>
      </c>
      <c r="B2048" t="s">
        <v>25</v>
      </c>
      <c r="C2048" t="str">
        <f t="shared" si="64"/>
        <v>INTEGRA Saloon</v>
      </c>
      <c r="D2048" t="str">
        <f t="shared" si="65"/>
        <v>1.6 i</v>
      </c>
      <c r="E2048" t="s">
        <v>26</v>
      </c>
      <c r="F2048">
        <v>198501</v>
      </c>
      <c r="G2048">
        <v>199012</v>
      </c>
      <c r="H2048">
        <v>88</v>
      </c>
      <c r="I2048">
        <v>120</v>
      </c>
      <c r="J2048">
        <v>1590</v>
      </c>
      <c r="K2048">
        <v>2671746</v>
      </c>
      <c r="L2048" t="s">
        <v>1235</v>
      </c>
      <c r="M2048" t="str">
        <f>"120600"</f>
        <v>120600</v>
      </c>
      <c r="N2048" t="str">
        <f>"120600"</f>
        <v>120600</v>
      </c>
      <c r="O2048" t="str">
        <f>""</f>
        <v/>
      </c>
      <c r="P2048" t="s">
        <v>1236</v>
      </c>
      <c r="Q2048" t="str">
        <f>""</f>
        <v/>
      </c>
      <c r="U2048">
        <v>5171</v>
      </c>
      <c r="V2048" t="s">
        <v>1236</v>
      </c>
      <c r="W2048" t="s">
        <v>1236</v>
      </c>
      <c r="X2048" t="s">
        <v>1237</v>
      </c>
    </row>
    <row r="2049" spans="1:24">
      <c r="A2049">
        <v>13531</v>
      </c>
      <c r="B2049" t="s">
        <v>25</v>
      </c>
      <c r="C2049" t="str">
        <f t="shared" si="64"/>
        <v>INTEGRA Saloon</v>
      </c>
      <c r="D2049" t="str">
        <f t="shared" si="65"/>
        <v>1.6 i</v>
      </c>
      <c r="E2049" t="s">
        <v>26</v>
      </c>
      <c r="F2049">
        <v>198501</v>
      </c>
      <c r="G2049">
        <v>199012</v>
      </c>
      <c r="H2049">
        <v>88</v>
      </c>
      <c r="I2049">
        <v>120</v>
      </c>
      <c r="J2049">
        <v>1590</v>
      </c>
      <c r="K2049">
        <v>2671747</v>
      </c>
      <c r="L2049" t="s">
        <v>1235</v>
      </c>
      <c r="M2049" t="str">
        <f>"120601"</f>
        <v>120601</v>
      </c>
      <c r="N2049" t="str">
        <f>"120601"</f>
        <v>120601</v>
      </c>
      <c r="O2049" t="str">
        <f>""</f>
        <v/>
      </c>
      <c r="P2049" t="s">
        <v>1236</v>
      </c>
      <c r="Q2049" t="str">
        <f>""</f>
        <v/>
      </c>
      <c r="U2049">
        <v>5171</v>
      </c>
      <c r="V2049" t="s">
        <v>1236</v>
      </c>
      <c r="W2049" t="s">
        <v>1236</v>
      </c>
      <c r="X2049" t="s">
        <v>1237</v>
      </c>
    </row>
    <row r="2050" spans="1:24">
      <c r="A2050">
        <v>13531</v>
      </c>
      <c r="B2050" t="s">
        <v>25</v>
      </c>
      <c r="C2050" t="str">
        <f t="shared" si="64"/>
        <v>INTEGRA Saloon</v>
      </c>
      <c r="D2050" t="str">
        <f t="shared" si="65"/>
        <v>1.6 i</v>
      </c>
      <c r="E2050" t="s">
        <v>26</v>
      </c>
      <c r="F2050">
        <v>198501</v>
      </c>
      <c r="G2050">
        <v>199012</v>
      </c>
      <c r="H2050">
        <v>88</v>
      </c>
      <c r="I2050">
        <v>120</v>
      </c>
      <c r="J2050">
        <v>1590</v>
      </c>
      <c r="K2050">
        <v>2671748</v>
      </c>
      <c r="L2050" t="s">
        <v>1235</v>
      </c>
      <c r="M2050" t="str">
        <f>"120602"</f>
        <v>120602</v>
      </c>
      <c r="N2050" t="str">
        <f>"120602"</f>
        <v>120602</v>
      </c>
      <c r="O2050" t="str">
        <f>""</f>
        <v/>
      </c>
      <c r="P2050" t="s">
        <v>1236</v>
      </c>
      <c r="Q2050" t="str">
        <f>""</f>
        <v/>
      </c>
      <c r="U2050">
        <v>5171</v>
      </c>
      <c r="V2050" t="s">
        <v>1236</v>
      </c>
      <c r="W2050" t="s">
        <v>1236</v>
      </c>
      <c r="X2050" t="s">
        <v>1237</v>
      </c>
    </row>
    <row r="2051" spans="1:24">
      <c r="A2051">
        <v>13531</v>
      </c>
      <c r="B2051" t="s">
        <v>25</v>
      </c>
      <c r="C2051" t="str">
        <f t="shared" si="64"/>
        <v>INTEGRA Saloon</v>
      </c>
      <c r="D2051" t="str">
        <f t="shared" si="65"/>
        <v>1.6 i</v>
      </c>
      <c r="E2051" t="s">
        <v>26</v>
      </c>
      <c r="F2051">
        <v>198501</v>
      </c>
      <c r="G2051">
        <v>199012</v>
      </c>
      <c r="H2051">
        <v>88</v>
      </c>
      <c r="I2051">
        <v>120</v>
      </c>
      <c r="J2051">
        <v>1590</v>
      </c>
      <c r="K2051">
        <v>2671749</v>
      </c>
      <c r="L2051" t="s">
        <v>1235</v>
      </c>
      <c r="M2051" t="str">
        <f>"120603"</f>
        <v>120603</v>
      </c>
      <c r="N2051" t="str">
        <f>"120603"</f>
        <v>120603</v>
      </c>
      <c r="O2051" t="str">
        <f>""</f>
        <v/>
      </c>
      <c r="P2051" t="s">
        <v>1236</v>
      </c>
      <c r="Q2051" t="str">
        <f>""</f>
        <v/>
      </c>
      <c r="U2051">
        <v>5171</v>
      </c>
      <c r="V2051" t="s">
        <v>1236</v>
      </c>
      <c r="W2051" t="s">
        <v>1236</v>
      </c>
      <c r="X2051" t="s">
        <v>1237</v>
      </c>
    </row>
    <row r="2052" spans="1:24">
      <c r="A2052">
        <v>13531</v>
      </c>
      <c r="B2052" t="s">
        <v>25</v>
      </c>
      <c r="C2052" t="str">
        <f t="shared" si="64"/>
        <v>INTEGRA Saloon</v>
      </c>
      <c r="D2052" t="str">
        <f t="shared" si="65"/>
        <v>1.6 i</v>
      </c>
      <c r="E2052" t="s">
        <v>26</v>
      </c>
      <c r="F2052">
        <v>198501</v>
      </c>
      <c r="G2052">
        <v>199012</v>
      </c>
      <c r="H2052">
        <v>88</v>
      </c>
      <c r="I2052">
        <v>120</v>
      </c>
      <c r="J2052">
        <v>1590</v>
      </c>
      <c r="K2052">
        <v>2671750</v>
      </c>
      <c r="L2052" t="s">
        <v>1235</v>
      </c>
      <c r="M2052" t="str">
        <f>"120604"</f>
        <v>120604</v>
      </c>
      <c r="N2052" t="str">
        <f>"120604"</f>
        <v>120604</v>
      </c>
      <c r="O2052" t="str">
        <f>""</f>
        <v/>
      </c>
      <c r="P2052" t="s">
        <v>1236</v>
      </c>
      <c r="Q2052" t="str">
        <f>""</f>
        <v/>
      </c>
      <c r="U2052">
        <v>5171</v>
      </c>
      <c r="V2052" t="s">
        <v>1236</v>
      </c>
      <c r="W2052" t="s">
        <v>1236</v>
      </c>
      <c r="X2052" t="s">
        <v>1237</v>
      </c>
    </row>
    <row r="2053" spans="1:24">
      <c r="A2053">
        <v>13531</v>
      </c>
      <c r="B2053" t="s">
        <v>25</v>
      </c>
      <c r="C2053" t="str">
        <f t="shared" si="64"/>
        <v>INTEGRA Saloon</v>
      </c>
      <c r="D2053" t="str">
        <f t="shared" si="65"/>
        <v>1.6 i</v>
      </c>
      <c r="E2053" t="s">
        <v>26</v>
      </c>
      <c r="F2053">
        <v>198501</v>
      </c>
      <c r="G2053">
        <v>199012</v>
      </c>
      <c r="H2053">
        <v>88</v>
      </c>
      <c r="I2053">
        <v>120</v>
      </c>
      <c r="J2053">
        <v>1590</v>
      </c>
      <c r="K2053">
        <v>2671751</v>
      </c>
      <c r="L2053" t="s">
        <v>1235</v>
      </c>
      <c r="M2053" t="str">
        <f>"120607"</f>
        <v>120607</v>
      </c>
      <c r="N2053" t="str">
        <f>"120607"</f>
        <v>120607</v>
      </c>
      <c r="O2053" t="str">
        <f>""</f>
        <v/>
      </c>
      <c r="P2053" t="s">
        <v>1236</v>
      </c>
      <c r="Q2053" t="str">
        <f>""</f>
        <v/>
      </c>
      <c r="U2053">
        <v>5171</v>
      </c>
      <c r="V2053" t="s">
        <v>1236</v>
      </c>
      <c r="W2053" t="s">
        <v>1236</v>
      </c>
      <c r="X2053" t="s">
        <v>1237</v>
      </c>
    </row>
    <row r="2054" spans="1:24">
      <c r="A2054">
        <v>13532</v>
      </c>
      <c r="B2054" t="s">
        <v>25</v>
      </c>
      <c r="C2054" t="str">
        <f t="shared" ref="C2054:C2117" si="66">"INTEGRA Hatchback"</f>
        <v>INTEGRA Hatchback</v>
      </c>
      <c r="D2054" t="str">
        <f t="shared" ref="D2054:D2117" si="67">"1.5"</f>
        <v>1.5</v>
      </c>
      <c r="E2054" t="s">
        <v>1760</v>
      </c>
      <c r="F2054">
        <v>198501</v>
      </c>
      <c r="G2054">
        <v>199012</v>
      </c>
      <c r="H2054">
        <v>63</v>
      </c>
      <c r="I2054">
        <v>85</v>
      </c>
      <c r="J2054">
        <v>1488</v>
      </c>
      <c r="K2054">
        <v>3960330</v>
      </c>
      <c r="L2054" t="s">
        <v>27</v>
      </c>
      <c r="M2054" t="str">
        <f>"A54524GL"</f>
        <v>A54524GL</v>
      </c>
      <c r="N2054" t="str">
        <f>"A54524GL"</f>
        <v>A54524GL</v>
      </c>
      <c r="O2054" t="str">
        <f>""</f>
        <v/>
      </c>
      <c r="P2054" t="s">
        <v>28</v>
      </c>
      <c r="Q2054" t="str">
        <f>""</f>
        <v/>
      </c>
      <c r="U2054">
        <v>1</v>
      </c>
      <c r="V2054" t="s">
        <v>28</v>
      </c>
      <c r="W2054" t="s">
        <v>29</v>
      </c>
      <c r="X2054" t="s">
        <v>30</v>
      </c>
    </row>
    <row r="2055" spans="1:24">
      <c r="A2055">
        <v>13532</v>
      </c>
      <c r="B2055" t="s">
        <v>25</v>
      </c>
      <c r="C2055" t="str">
        <f t="shared" si="66"/>
        <v>INTEGRA Hatchback</v>
      </c>
      <c r="D2055" t="str">
        <f t="shared" si="67"/>
        <v>1.5</v>
      </c>
      <c r="E2055" t="s">
        <v>1760</v>
      </c>
      <c r="F2055">
        <v>198501</v>
      </c>
      <c r="G2055">
        <v>199012</v>
      </c>
      <c r="H2055">
        <v>63</v>
      </c>
      <c r="I2055">
        <v>85</v>
      </c>
      <c r="J2055">
        <v>1488</v>
      </c>
      <c r="K2055">
        <v>4205132</v>
      </c>
      <c r="L2055" t="s">
        <v>31</v>
      </c>
      <c r="M2055" t="str">
        <f>"156"</f>
        <v>156</v>
      </c>
      <c r="N2055" t="str">
        <f>"156"</f>
        <v>156</v>
      </c>
      <c r="O2055" t="str">
        <f>"54584"</f>
        <v>54584</v>
      </c>
      <c r="P2055" t="s">
        <v>28</v>
      </c>
      <c r="Q2055" t="str">
        <f>"5050694001239"</f>
        <v>5050694001239</v>
      </c>
      <c r="U2055">
        <v>1</v>
      </c>
      <c r="V2055" t="s">
        <v>28</v>
      </c>
      <c r="W2055" t="s">
        <v>29</v>
      </c>
      <c r="X2055" t="s">
        <v>30</v>
      </c>
    </row>
    <row r="2056" spans="1:24">
      <c r="A2056">
        <v>13532</v>
      </c>
      <c r="B2056" t="s">
        <v>25</v>
      </c>
      <c r="C2056" t="str">
        <f t="shared" si="66"/>
        <v>INTEGRA Hatchback</v>
      </c>
      <c r="D2056" t="str">
        <f t="shared" si="67"/>
        <v>1.5</v>
      </c>
      <c r="E2056" t="s">
        <v>1760</v>
      </c>
      <c r="F2056">
        <v>198501</v>
      </c>
      <c r="G2056">
        <v>199012</v>
      </c>
      <c r="H2056">
        <v>63</v>
      </c>
      <c r="I2056">
        <v>85</v>
      </c>
      <c r="J2056">
        <v>1488</v>
      </c>
      <c r="K2056">
        <v>4205269</v>
      </c>
      <c r="L2056" t="s">
        <v>31</v>
      </c>
      <c r="M2056" t="str">
        <f>"YBX3053"</f>
        <v>YBX3053</v>
      </c>
      <c r="N2056" t="str">
        <f>"YBX3053"</f>
        <v>YBX3053</v>
      </c>
      <c r="O2056" t="str">
        <f>""</f>
        <v/>
      </c>
      <c r="P2056" t="s">
        <v>28</v>
      </c>
      <c r="Q2056" t="str">
        <f>"5050694029578"</f>
        <v>5050694029578</v>
      </c>
      <c r="U2056">
        <v>1</v>
      </c>
      <c r="V2056" t="s">
        <v>28</v>
      </c>
      <c r="W2056" t="s">
        <v>29</v>
      </c>
      <c r="X2056" t="s">
        <v>30</v>
      </c>
    </row>
    <row r="2057" spans="1:24">
      <c r="A2057">
        <v>13532</v>
      </c>
      <c r="B2057" t="s">
        <v>25</v>
      </c>
      <c r="C2057" t="str">
        <f t="shared" si="66"/>
        <v>INTEGRA Hatchback</v>
      </c>
      <c r="D2057" t="str">
        <f t="shared" si="67"/>
        <v>1.5</v>
      </c>
      <c r="E2057" t="s">
        <v>1760</v>
      </c>
      <c r="F2057">
        <v>198501</v>
      </c>
      <c r="G2057">
        <v>199012</v>
      </c>
      <c r="H2057">
        <v>63</v>
      </c>
      <c r="I2057">
        <v>85</v>
      </c>
      <c r="J2057">
        <v>1488</v>
      </c>
      <c r="K2057">
        <v>4205297</v>
      </c>
      <c r="L2057" t="s">
        <v>31</v>
      </c>
      <c r="M2057" t="str">
        <f>"YBX5053"</f>
        <v>YBX5053</v>
      </c>
      <c r="N2057" t="str">
        <f>"YBX5053"</f>
        <v>YBX5053</v>
      </c>
      <c r="O2057" t="str">
        <f>""</f>
        <v/>
      </c>
      <c r="P2057" t="s">
        <v>28</v>
      </c>
      <c r="Q2057" t="str">
        <f>"5050694029400"</f>
        <v>5050694029400</v>
      </c>
      <c r="U2057">
        <v>1</v>
      </c>
      <c r="V2057" t="s">
        <v>28</v>
      </c>
      <c r="W2057" t="s">
        <v>29</v>
      </c>
      <c r="X2057" t="s">
        <v>30</v>
      </c>
    </row>
    <row r="2058" spans="1:24">
      <c r="A2058">
        <v>13532</v>
      </c>
      <c r="B2058" t="s">
        <v>25</v>
      </c>
      <c r="C2058" t="str">
        <f t="shared" si="66"/>
        <v>INTEGRA Hatchback</v>
      </c>
      <c r="D2058" t="str">
        <f t="shared" si="67"/>
        <v>1.5</v>
      </c>
      <c r="E2058" t="s">
        <v>1760</v>
      </c>
      <c r="F2058">
        <v>198501</v>
      </c>
      <c r="G2058">
        <v>199012</v>
      </c>
      <c r="H2058">
        <v>63</v>
      </c>
      <c r="I2058">
        <v>85</v>
      </c>
      <c r="J2058">
        <v>1488</v>
      </c>
      <c r="K2058">
        <v>4205345</v>
      </c>
      <c r="L2058" t="s">
        <v>32</v>
      </c>
      <c r="M2058" t="str">
        <f>"053"</f>
        <v>053</v>
      </c>
      <c r="N2058" t="str">
        <f>"053"</f>
        <v>053</v>
      </c>
      <c r="O2058" t="str">
        <f>"46B24L"</f>
        <v>46B24L</v>
      </c>
      <c r="P2058" t="s">
        <v>28</v>
      </c>
      <c r="Q2058" t="str">
        <f>""</f>
        <v/>
      </c>
      <c r="U2058">
        <v>1</v>
      </c>
      <c r="V2058" t="s">
        <v>28</v>
      </c>
      <c r="W2058" t="s">
        <v>29</v>
      </c>
      <c r="X2058" t="s">
        <v>30</v>
      </c>
    </row>
    <row r="2059" spans="1:24">
      <c r="A2059">
        <v>13532</v>
      </c>
      <c r="B2059" t="s">
        <v>25</v>
      </c>
      <c r="C2059" t="str">
        <f t="shared" si="66"/>
        <v>INTEGRA Hatchback</v>
      </c>
      <c r="D2059" t="str">
        <f t="shared" si="67"/>
        <v>1.5</v>
      </c>
      <c r="E2059" t="s">
        <v>1760</v>
      </c>
      <c r="F2059">
        <v>198501</v>
      </c>
      <c r="G2059">
        <v>199012</v>
      </c>
      <c r="H2059">
        <v>63</v>
      </c>
      <c r="I2059">
        <v>85</v>
      </c>
      <c r="J2059">
        <v>1488</v>
      </c>
      <c r="K2059">
        <v>4205369</v>
      </c>
      <c r="L2059" t="s">
        <v>32</v>
      </c>
      <c r="M2059" t="str">
        <f>"156"</f>
        <v>156</v>
      </c>
      <c r="N2059" t="str">
        <f>"156"</f>
        <v>156</v>
      </c>
      <c r="O2059" t="str">
        <f>"46B24L"</f>
        <v>46B24L</v>
      </c>
      <c r="P2059" t="s">
        <v>28</v>
      </c>
      <c r="Q2059" t="str">
        <f>""</f>
        <v/>
      </c>
      <c r="U2059">
        <v>1</v>
      </c>
      <c r="V2059" t="s">
        <v>28</v>
      </c>
      <c r="W2059" t="s">
        <v>29</v>
      </c>
      <c r="X2059" t="s">
        <v>30</v>
      </c>
    </row>
    <row r="2060" spans="1:24">
      <c r="A2060">
        <v>13532</v>
      </c>
      <c r="B2060" t="s">
        <v>25</v>
      </c>
      <c r="C2060" t="str">
        <f t="shared" si="66"/>
        <v>INTEGRA Hatchback</v>
      </c>
      <c r="D2060" t="str">
        <f t="shared" si="67"/>
        <v>1.5</v>
      </c>
      <c r="E2060" t="s">
        <v>1760</v>
      </c>
      <c r="F2060">
        <v>198501</v>
      </c>
      <c r="G2060">
        <v>199012</v>
      </c>
      <c r="H2060">
        <v>63</v>
      </c>
      <c r="I2060">
        <v>85</v>
      </c>
      <c r="J2060">
        <v>1488</v>
      </c>
      <c r="K2060">
        <v>4205429</v>
      </c>
      <c r="L2060" t="s">
        <v>32</v>
      </c>
      <c r="M2060" t="str">
        <f>"GLD053"</f>
        <v>GLD053</v>
      </c>
      <c r="N2060" t="str">
        <f>"GLD053"</f>
        <v>GLD053</v>
      </c>
      <c r="O2060" t="str">
        <f>""</f>
        <v/>
      </c>
      <c r="P2060" t="s">
        <v>28</v>
      </c>
      <c r="Q2060" t="str">
        <f>"5050694032622"</f>
        <v>5050694032622</v>
      </c>
      <c r="U2060">
        <v>1</v>
      </c>
      <c r="V2060" t="s">
        <v>28</v>
      </c>
      <c r="W2060" t="s">
        <v>29</v>
      </c>
      <c r="X2060" t="s">
        <v>30</v>
      </c>
    </row>
    <row r="2061" spans="1:24">
      <c r="A2061">
        <v>13532</v>
      </c>
      <c r="B2061" t="s">
        <v>25</v>
      </c>
      <c r="C2061" t="str">
        <f t="shared" si="66"/>
        <v>INTEGRA Hatchback</v>
      </c>
      <c r="D2061" t="str">
        <f t="shared" si="67"/>
        <v>1.5</v>
      </c>
      <c r="E2061" t="s">
        <v>1760</v>
      </c>
      <c r="F2061">
        <v>198501</v>
      </c>
      <c r="G2061">
        <v>199012</v>
      </c>
      <c r="H2061">
        <v>63</v>
      </c>
      <c r="I2061">
        <v>85</v>
      </c>
      <c r="J2061">
        <v>1488</v>
      </c>
      <c r="K2061">
        <v>4205527</v>
      </c>
      <c r="L2061" t="s">
        <v>32</v>
      </c>
      <c r="M2061" t="str">
        <f>"SLV053"</f>
        <v>SLV053</v>
      </c>
      <c r="N2061" t="str">
        <f>"SLV053"</f>
        <v>SLV053</v>
      </c>
      <c r="O2061" t="str">
        <f>""</f>
        <v/>
      </c>
      <c r="P2061" t="s">
        <v>28</v>
      </c>
      <c r="Q2061" t="str">
        <f>"5050694032820"</f>
        <v>5050694032820</v>
      </c>
      <c r="U2061">
        <v>1</v>
      </c>
      <c r="V2061" t="s">
        <v>28</v>
      </c>
      <c r="W2061" t="s">
        <v>29</v>
      </c>
      <c r="X2061" t="s">
        <v>30</v>
      </c>
    </row>
    <row r="2062" spans="1:24">
      <c r="A2062">
        <v>13532</v>
      </c>
      <c r="B2062" t="s">
        <v>25</v>
      </c>
      <c r="C2062" t="str">
        <f t="shared" si="66"/>
        <v>INTEGRA Hatchback</v>
      </c>
      <c r="D2062" t="str">
        <f t="shared" si="67"/>
        <v>1.5</v>
      </c>
      <c r="E2062" t="s">
        <v>1760</v>
      </c>
      <c r="F2062">
        <v>198501</v>
      </c>
      <c r="G2062">
        <v>199012</v>
      </c>
      <c r="H2062">
        <v>63</v>
      </c>
      <c r="I2062">
        <v>85</v>
      </c>
      <c r="J2062">
        <v>1488</v>
      </c>
      <c r="K2062">
        <v>3034000</v>
      </c>
      <c r="L2062" t="s">
        <v>33</v>
      </c>
      <c r="M2062" t="str">
        <f>"J5214010"</f>
        <v>J5214010</v>
      </c>
      <c r="N2062" t="str">
        <f>"J5214010"</f>
        <v>J5214010</v>
      </c>
      <c r="O2062" t="str">
        <f>""</f>
        <v/>
      </c>
      <c r="P2062" t="s">
        <v>34</v>
      </c>
      <c r="Q2062" t="str">
        <f>"8711768070199"</f>
        <v>8711768070199</v>
      </c>
      <c r="R2062" t="s">
        <v>35</v>
      </c>
      <c r="T2062" s="1" t="s">
        <v>36</v>
      </c>
      <c r="U2062">
        <v>2</v>
      </c>
      <c r="V2062" t="s">
        <v>34</v>
      </c>
      <c r="W2062" t="s">
        <v>34</v>
      </c>
      <c r="X2062" t="s">
        <v>30</v>
      </c>
    </row>
    <row r="2063" spans="1:24">
      <c r="A2063">
        <v>13532</v>
      </c>
      <c r="B2063" t="s">
        <v>25</v>
      </c>
      <c r="C2063" t="str">
        <f t="shared" si="66"/>
        <v>INTEGRA Hatchback</v>
      </c>
      <c r="D2063" t="str">
        <f t="shared" si="67"/>
        <v>1.5</v>
      </c>
      <c r="E2063" t="s">
        <v>1760</v>
      </c>
      <c r="F2063">
        <v>198501</v>
      </c>
      <c r="G2063">
        <v>199012</v>
      </c>
      <c r="H2063">
        <v>63</v>
      </c>
      <c r="I2063">
        <v>85</v>
      </c>
      <c r="J2063">
        <v>1488</v>
      </c>
      <c r="K2063">
        <v>3964070</v>
      </c>
      <c r="L2063" t="s">
        <v>27</v>
      </c>
      <c r="M2063" t="str">
        <f>"H14620"</f>
        <v>H14620</v>
      </c>
      <c r="N2063" t="str">
        <f>"H146-20"</f>
        <v>H146-20</v>
      </c>
      <c r="O2063" t="str">
        <f>""</f>
        <v/>
      </c>
      <c r="P2063" t="s">
        <v>34</v>
      </c>
      <c r="Q2063" t="str">
        <f>"8718993212066"</f>
        <v>8718993212066</v>
      </c>
      <c r="R2063" t="s">
        <v>37</v>
      </c>
      <c r="T2063" s="1" t="s">
        <v>38</v>
      </c>
      <c r="U2063">
        <v>2</v>
      </c>
      <c r="V2063" t="s">
        <v>34</v>
      </c>
      <c r="W2063" t="s">
        <v>34</v>
      </c>
      <c r="X2063" t="s">
        <v>30</v>
      </c>
    </row>
    <row r="2064" spans="1:24">
      <c r="A2064">
        <v>13532</v>
      </c>
      <c r="B2064" t="s">
        <v>25</v>
      </c>
      <c r="C2064" t="str">
        <f t="shared" si="66"/>
        <v>INTEGRA Hatchback</v>
      </c>
      <c r="D2064" t="str">
        <f t="shared" si="67"/>
        <v>1.5</v>
      </c>
      <c r="E2064" t="s">
        <v>1760</v>
      </c>
      <c r="F2064">
        <v>198501</v>
      </c>
      <c r="G2064">
        <v>199012</v>
      </c>
      <c r="H2064">
        <v>63</v>
      </c>
      <c r="I2064">
        <v>85</v>
      </c>
      <c r="J2064">
        <v>1488</v>
      </c>
      <c r="K2064">
        <v>3033801</v>
      </c>
      <c r="L2064" t="s">
        <v>33</v>
      </c>
      <c r="M2064" t="str">
        <f>"J5114009"</f>
        <v>J5114009</v>
      </c>
      <c r="N2064" t="str">
        <f>"J5114009"</f>
        <v>J5114009</v>
      </c>
      <c r="O2064" t="str">
        <f>""</f>
        <v/>
      </c>
      <c r="P2064" t="s">
        <v>39</v>
      </c>
      <c r="Q2064" t="str">
        <f>"8711768068202"</f>
        <v>8711768068202</v>
      </c>
      <c r="R2064" t="s">
        <v>40</v>
      </c>
      <c r="T2064" s="1" t="s">
        <v>41</v>
      </c>
      <c r="U2064">
        <v>4</v>
      </c>
      <c r="V2064" t="s">
        <v>39</v>
      </c>
      <c r="W2064" t="s">
        <v>39</v>
      </c>
      <c r="X2064" t="s">
        <v>39</v>
      </c>
    </row>
    <row r="2065" spans="1:25">
      <c r="A2065">
        <v>13532</v>
      </c>
      <c r="B2065" t="s">
        <v>25</v>
      </c>
      <c r="C2065" t="str">
        <f t="shared" si="66"/>
        <v>INTEGRA Hatchback</v>
      </c>
      <c r="D2065" t="str">
        <f t="shared" si="67"/>
        <v>1.5</v>
      </c>
      <c r="E2065" t="s">
        <v>1760</v>
      </c>
      <c r="F2065">
        <v>198501</v>
      </c>
      <c r="G2065">
        <v>199012</v>
      </c>
      <c r="H2065">
        <v>63</v>
      </c>
      <c r="I2065">
        <v>85</v>
      </c>
      <c r="J2065">
        <v>1488</v>
      </c>
      <c r="K2065">
        <v>3033803</v>
      </c>
      <c r="L2065" t="s">
        <v>33</v>
      </c>
      <c r="M2065" t="str">
        <f>"J5114013"</f>
        <v>J5114013</v>
      </c>
      <c r="N2065" t="str">
        <f>"J5114013"</f>
        <v>J5114013</v>
      </c>
      <c r="O2065" t="str">
        <f>""</f>
        <v/>
      </c>
      <c r="P2065" t="s">
        <v>39</v>
      </c>
      <c r="Q2065" t="str">
        <f>"8711768068226"</f>
        <v>8711768068226</v>
      </c>
      <c r="R2065" t="s">
        <v>42</v>
      </c>
      <c r="T2065" s="1" t="s">
        <v>43</v>
      </c>
      <c r="U2065">
        <v>4</v>
      </c>
      <c r="V2065" t="s">
        <v>39</v>
      </c>
      <c r="W2065" t="s">
        <v>39</v>
      </c>
      <c r="X2065" t="s">
        <v>39</v>
      </c>
    </row>
    <row r="2066" spans="1:25">
      <c r="A2066">
        <v>13532</v>
      </c>
      <c r="B2066" t="s">
        <v>25</v>
      </c>
      <c r="C2066" t="str">
        <f t="shared" si="66"/>
        <v>INTEGRA Hatchback</v>
      </c>
      <c r="D2066" t="str">
        <f t="shared" si="67"/>
        <v>1.5</v>
      </c>
      <c r="E2066" t="s">
        <v>1760</v>
      </c>
      <c r="F2066">
        <v>198501</v>
      </c>
      <c r="G2066">
        <v>199012</v>
      </c>
      <c r="H2066">
        <v>63</v>
      </c>
      <c r="I2066">
        <v>85</v>
      </c>
      <c r="J2066">
        <v>1488</v>
      </c>
      <c r="K2066">
        <v>3964051</v>
      </c>
      <c r="L2066" t="s">
        <v>27</v>
      </c>
      <c r="M2066" t="str">
        <f>"H14520"</f>
        <v>H14520</v>
      </c>
      <c r="N2066" t="str">
        <f>"H145-20"</f>
        <v>H145-20</v>
      </c>
      <c r="O2066" t="str">
        <f>""</f>
        <v/>
      </c>
      <c r="P2066" t="s">
        <v>39</v>
      </c>
      <c r="Q2066" t="str">
        <f>""</f>
        <v/>
      </c>
      <c r="R2066" t="s">
        <v>44</v>
      </c>
      <c r="T2066" s="1" t="s">
        <v>45</v>
      </c>
      <c r="U2066">
        <v>4</v>
      </c>
      <c r="V2066" t="s">
        <v>39</v>
      </c>
      <c r="W2066" t="s">
        <v>39</v>
      </c>
      <c r="X2066" t="s">
        <v>39</v>
      </c>
    </row>
    <row r="2067" spans="1:25">
      <c r="A2067">
        <v>13532</v>
      </c>
      <c r="B2067" t="s">
        <v>25</v>
      </c>
      <c r="C2067" t="str">
        <f t="shared" si="66"/>
        <v>INTEGRA Hatchback</v>
      </c>
      <c r="D2067" t="str">
        <f t="shared" si="67"/>
        <v>1.5</v>
      </c>
      <c r="E2067" t="s">
        <v>1760</v>
      </c>
      <c r="F2067">
        <v>198501</v>
      </c>
      <c r="G2067">
        <v>199012</v>
      </c>
      <c r="H2067">
        <v>63</v>
      </c>
      <c r="I2067">
        <v>85</v>
      </c>
      <c r="J2067">
        <v>1488</v>
      </c>
      <c r="K2067">
        <v>700320</v>
      </c>
      <c r="L2067" t="s">
        <v>46</v>
      </c>
      <c r="M2067" t="str">
        <f>"AC1001K"</f>
        <v>AC1001K</v>
      </c>
      <c r="N2067" t="str">
        <f>"AC1001K"</f>
        <v>AC1001K</v>
      </c>
      <c r="O2067" t="str">
        <f>""</f>
        <v/>
      </c>
      <c r="P2067" t="s">
        <v>47</v>
      </c>
      <c r="Q2067" t="str">
        <f>""</f>
        <v/>
      </c>
      <c r="U2067">
        <v>5</v>
      </c>
      <c r="V2067" t="s">
        <v>47</v>
      </c>
      <c r="W2067" t="s">
        <v>48</v>
      </c>
      <c r="X2067" t="s">
        <v>49</v>
      </c>
      <c r="Y2067" t="s">
        <v>50</v>
      </c>
    </row>
    <row r="2068" spans="1:25">
      <c r="A2068">
        <v>13532</v>
      </c>
      <c r="B2068" t="s">
        <v>25</v>
      </c>
      <c r="C2068" t="str">
        <f t="shared" si="66"/>
        <v>INTEGRA Hatchback</v>
      </c>
      <c r="D2068" t="str">
        <f t="shared" si="67"/>
        <v>1.5</v>
      </c>
      <c r="E2068" t="s">
        <v>1760</v>
      </c>
      <c r="F2068">
        <v>198501</v>
      </c>
      <c r="G2068">
        <v>199012</v>
      </c>
      <c r="H2068">
        <v>63</v>
      </c>
      <c r="I2068">
        <v>85</v>
      </c>
      <c r="J2068">
        <v>1488</v>
      </c>
      <c r="K2068">
        <v>700322</v>
      </c>
      <c r="L2068" t="s">
        <v>46</v>
      </c>
      <c r="M2068" t="str">
        <f>"AC1002K"</f>
        <v>AC1002K</v>
      </c>
      <c r="N2068" t="str">
        <f>"AC1002K"</f>
        <v>AC1002K</v>
      </c>
      <c r="O2068" t="str">
        <f>""</f>
        <v/>
      </c>
      <c r="P2068" t="s">
        <v>47</v>
      </c>
      <c r="Q2068" t="str">
        <f>""</f>
        <v/>
      </c>
      <c r="U2068">
        <v>5</v>
      </c>
      <c r="V2068" t="s">
        <v>47</v>
      </c>
      <c r="W2068" t="s">
        <v>48</v>
      </c>
      <c r="X2068" t="s">
        <v>49</v>
      </c>
      <c r="Y2068" t="s">
        <v>50</v>
      </c>
    </row>
    <row r="2069" spans="1:25">
      <c r="A2069">
        <v>13532</v>
      </c>
      <c r="B2069" t="s">
        <v>25</v>
      </c>
      <c r="C2069" t="str">
        <f t="shared" si="66"/>
        <v>INTEGRA Hatchback</v>
      </c>
      <c r="D2069" t="str">
        <f t="shared" si="67"/>
        <v>1.5</v>
      </c>
      <c r="E2069" t="s">
        <v>1760</v>
      </c>
      <c r="F2069">
        <v>198501</v>
      </c>
      <c r="G2069">
        <v>199012</v>
      </c>
      <c r="H2069">
        <v>63</v>
      </c>
      <c r="I2069">
        <v>85</v>
      </c>
      <c r="J2069">
        <v>1488</v>
      </c>
      <c r="K2069">
        <v>751200</v>
      </c>
      <c r="L2069" t="s">
        <v>51</v>
      </c>
      <c r="M2069" t="str">
        <f>"GHO2800K"</f>
        <v>GHO2800K</v>
      </c>
      <c r="N2069" t="str">
        <f>"GHO2800K"</f>
        <v>GHO2800K</v>
      </c>
      <c r="O2069" t="str">
        <f>""</f>
        <v/>
      </c>
      <c r="P2069" t="s">
        <v>47</v>
      </c>
      <c r="Q2069" t="str">
        <f>""</f>
        <v/>
      </c>
      <c r="R2069" t="s">
        <v>52</v>
      </c>
      <c r="T2069" s="1" t="s">
        <v>53</v>
      </c>
      <c r="U2069">
        <v>5</v>
      </c>
      <c r="V2069" t="s">
        <v>47</v>
      </c>
      <c r="W2069" t="s">
        <v>48</v>
      </c>
      <c r="X2069" t="s">
        <v>49</v>
      </c>
      <c r="Y2069" t="s">
        <v>50</v>
      </c>
    </row>
    <row r="2070" spans="1:25">
      <c r="A2070">
        <v>13532</v>
      </c>
      <c r="B2070" t="s">
        <v>25</v>
      </c>
      <c r="C2070" t="str">
        <f t="shared" si="66"/>
        <v>INTEGRA Hatchback</v>
      </c>
      <c r="D2070" t="str">
        <f t="shared" si="67"/>
        <v>1.5</v>
      </c>
      <c r="E2070" t="s">
        <v>1760</v>
      </c>
      <c r="F2070">
        <v>198501</v>
      </c>
      <c r="G2070">
        <v>199012</v>
      </c>
      <c r="H2070">
        <v>63</v>
      </c>
      <c r="I2070">
        <v>85</v>
      </c>
      <c r="J2070">
        <v>1488</v>
      </c>
      <c r="K2070">
        <v>2378700</v>
      </c>
      <c r="L2070" t="s">
        <v>144</v>
      </c>
      <c r="M2070" t="str">
        <f>"16552"</f>
        <v>16552</v>
      </c>
      <c r="N2070" t="str">
        <f>"16552"</f>
        <v>16552</v>
      </c>
      <c r="O2070" t="str">
        <f>""</f>
        <v/>
      </c>
      <c r="P2070" t="s">
        <v>47</v>
      </c>
      <c r="Q2070" t="str">
        <f>"4043605575371"</f>
        <v>4043605575371</v>
      </c>
      <c r="R2070" t="s">
        <v>1761</v>
      </c>
      <c r="S2070" t="s">
        <v>491</v>
      </c>
      <c r="T2070" s="1" t="s">
        <v>1762</v>
      </c>
      <c r="U2070">
        <v>5</v>
      </c>
      <c r="V2070" t="s">
        <v>47</v>
      </c>
      <c r="W2070" t="s">
        <v>48</v>
      </c>
      <c r="X2070" t="s">
        <v>49</v>
      </c>
      <c r="Y2070" t="s">
        <v>50</v>
      </c>
    </row>
    <row r="2071" spans="1:25">
      <c r="A2071">
        <v>13532</v>
      </c>
      <c r="B2071" t="s">
        <v>25</v>
      </c>
      <c r="C2071" t="str">
        <f t="shared" si="66"/>
        <v>INTEGRA Hatchback</v>
      </c>
      <c r="D2071" t="str">
        <f t="shared" si="67"/>
        <v>1.5</v>
      </c>
      <c r="E2071" t="s">
        <v>1760</v>
      </c>
      <c r="F2071">
        <v>198501</v>
      </c>
      <c r="G2071">
        <v>199012</v>
      </c>
      <c r="H2071">
        <v>63</v>
      </c>
      <c r="I2071">
        <v>85</v>
      </c>
      <c r="J2071">
        <v>1488</v>
      </c>
      <c r="K2071">
        <v>3470584</v>
      </c>
      <c r="L2071" t="s">
        <v>54</v>
      </c>
      <c r="M2071" t="str">
        <f>"J3581"</f>
        <v>J3581</v>
      </c>
      <c r="N2071" t="str">
        <f>"J3581"</f>
        <v>J3581</v>
      </c>
      <c r="O2071" t="str">
        <f>""</f>
        <v/>
      </c>
      <c r="P2071" t="s">
        <v>47</v>
      </c>
      <c r="Q2071" t="str">
        <f>"3599771182444"</f>
        <v>3599771182444</v>
      </c>
      <c r="R2071" t="s">
        <v>55</v>
      </c>
      <c r="S2071" t="s">
        <v>1763</v>
      </c>
      <c r="T2071" s="1" t="s">
        <v>57</v>
      </c>
      <c r="U2071">
        <v>5</v>
      </c>
      <c r="V2071" t="s">
        <v>47</v>
      </c>
      <c r="W2071" t="s">
        <v>48</v>
      </c>
      <c r="X2071" t="s">
        <v>49</v>
      </c>
      <c r="Y2071" t="s">
        <v>50</v>
      </c>
    </row>
    <row r="2072" spans="1:25">
      <c r="A2072">
        <v>13532</v>
      </c>
      <c r="B2072" t="s">
        <v>25</v>
      </c>
      <c r="C2072" t="str">
        <f t="shared" si="66"/>
        <v>INTEGRA Hatchback</v>
      </c>
      <c r="D2072" t="str">
        <f t="shared" si="67"/>
        <v>1.5</v>
      </c>
      <c r="E2072" t="s">
        <v>1760</v>
      </c>
      <c r="F2072">
        <v>198501</v>
      </c>
      <c r="G2072">
        <v>199012</v>
      </c>
      <c r="H2072">
        <v>63</v>
      </c>
      <c r="I2072">
        <v>85</v>
      </c>
      <c r="J2072">
        <v>1488</v>
      </c>
      <c r="K2072">
        <v>3471074</v>
      </c>
      <c r="L2072" t="s">
        <v>54</v>
      </c>
      <c r="M2072" t="str">
        <f>"J8050"</f>
        <v>J8050</v>
      </c>
      <c r="N2072" t="str">
        <f>"J8050"</f>
        <v>J8050</v>
      </c>
      <c r="O2072" t="str">
        <f>""</f>
        <v/>
      </c>
      <c r="P2072" t="s">
        <v>47</v>
      </c>
      <c r="Q2072" t="str">
        <f>"3599771602737"</f>
        <v>3599771602737</v>
      </c>
      <c r="S2072" t="s">
        <v>1764</v>
      </c>
      <c r="U2072">
        <v>5</v>
      </c>
      <c r="V2072" t="s">
        <v>47</v>
      </c>
      <c r="W2072" t="s">
        <v>48</v>
      </c>
      <c r="X2072" t="s">
        <v>49</v>
      </c>
      <c r="Y2072" t="s">
        <v>50</v>
      </c>
    </row>
    <row r="2073" spans="1:25">
      <c r="A2073">
        <v>13532</v>
      </c>
      <c r="B2073" t="s">
        <v>25</v>
      </c>
      <c r="C2073" t="str">
        <f t="shared" si="66"/>
        <v>INTEGRA Hatchback</v>
      </c>
      <c r="D2073" t="str">
        <f t="shared" si="67"/>
        <v>1.5</v>
      </c>
      <c r="E2073" t="s">
        <v>1760</v>
      </c>
      <c r="F2073">
        <v>198501</v>
      </c>
      <c r="G2073">
        <v>199012</v>
      </c>
      <c r="H2073">
        <v>63</v>
      </c>
      <c r="I2073">
        <v>85</v>
      </c>
      <c r="J2073">
        <v>1488</v>
      </c>
      <c r="K2073">
        <v>3768700</v>
      </c>
      <c r="L2073" t="s">
        <v>1580</v>
      </c>
      <c r="M2073" t="str">
        <f>"490154"</f>
        <v>490154</v>
      </c>
      <c r="N2073" t="str">
        <f>"49-0154"</f>
        <v>49-0154</v>
      </c>
      <c r="O2073" t="str">
        <f>"25-1101MG"</f>
        <v>25-1101MG</v>
      </c>
      <c r="P2073" t="s">
        <v>47</v>
      </c>
      <c r="Q2073" t="str">
        <f>""</f>
        <v/>
      </c>
      <c r="R2073" t="s">
        <v>1765</v>
      </c>
      <c r="S2073" t="s">
        <v>1766</v>
      </c>
      <c r="T2073" s="1" t="s">
        <v>1767</v>
      </c>
      <c r="U2073">
        <v>5</v>
      </c>
      <c r="V2073" t="s">
        <v>47</v>
      </c>
      <c r="W2073" t="s">
        <v>48</v>
      </c>
      <c r="X2073" t="s">
        <v>49</v>
      </c>
      <c r="Y2073" t="s">
        <v>50</v>
      </c>
    </row>
    <row r="2074" spans="1:25">
      <c r="A2074">
        <v>13532</v>
      </c>
      <c r="B2074" t="s">
        <v>25</v>
      </c>
      <c r="C2074" t="str">
        <f t="shared" si="66"/>
        <v>INTEGRA Hatchback</v>
      </c>
      <c r="D2074" t="str">
        <f t="shared" si="67"/>
        <v>1.5</v>
      </c>
      <c r="E2074" t="s">
        <v>1760</v>
      </c>
      <c r="F2074">
        <v>198501</v>
      </c>
      <c r="G2074">
        <v>199012</v>
      </c>
      <c r="H2074">
        <v>63</v>
      </c>
      <c r="I2074">
        <v>85</v>
      </c>
      <c r="J2074">
        <v>1488</v>
      </c>
      <c r="K2074">
        <v>4528780</v>
      </c>
      <c r="L2074" t="s">
        <v>59</v>
      </c>
      <c r="M2074" t="str">
        <f>"12040810"</f>
        <v>12040810</v>
      </c>
      <c r="N2074" t="str">
        <f>"12-040810"</f>
        <v>12-040810</v>
      </c>
      <c r="O2074" t="str">
        <f>""</f>
        <v/>
      </c>
      <c r="P2074" t="s">
        <v>47</v>
      </c>
      <c r="Q2074" t="str">
        <f>""</f>
        <v/>
      </c>
      <c r="R2074" t="s">
        <v>60</v>
      </c>
      <c r="S2074" t="s">
        <v>61</v>
      </c>
      <c r="T2074" s="1" t="s">
        <v>62</v>
      </c>
      <c r="U2074">
        <v>5</v>
      </c>
      <c r="V2074" t="s">
        <v>47</v>
      </c>
      <c r="W2074" t="s">
        <v>48</v>
      </c>
      <c r="X2074" t="s">
        <v>49</v>
      </c>
      <c r="Y2074" t="s">
        <v>50</v>
      </c>
    </row>
    <row r="2075" spans="1:25">
      <c r="A2075">
        <v>13532</v>
      </c>
      <c r="B2075" t="s">
        <v>25</v>
      </c>
      <c r="C2075" t="str">
        <f t="shared" si="66"/>
        <v>INTEGRA Hatchback</v>
      </c>
      <c r="D2075" t="str">
        <f t="shared" si="67"/>
        <v>1.5</v>
      </c>
      <c r="E2075" t="s">
        <v>1760</v>
      </c>
      <c r="F2075">
        <v>198501</v>
      </c>
      <c r="G2075">
        <v>199012</v>
      </c>
      <c r="H2075">
        <v>63</v>
      </c>
      <c r="I2075">
        <v>85</v>
      </c>
      <c r="J2075">
        <v>1488</v>
      </c>
      <c r="K2075">
        <v>4528792</v>
      </c>
      <c r="L2075" t="s">
        <v>59</v>
      </c>
      <c r="M2075" t="str">
        <f>"12040850"</f>
        <v>12040850</v>
      </c>
      <c r="N2075" t="str">
        <f>"12-040850"</f>
        <v>12-040850</v>
      </c>
      <c r="O2075" t="str">
        <f>""</f>
        <v/>
      </c>
      <c r="P2075" t="s">
        <v>47</v>
      </c>
      <c r="Q2075" t="str">
        <f>""</f>
        <v/>
      </c>
      <c r="R2075" t="s">
        <v>63</v>
      </c>
      <c r="S2075" t="s">
        <v>64</v>
      </c>
      <c r="T2075" s="1" t="s">
        <v>65</v>
      </c>
      <c r="U2075">
        <v>5</v>
      </c>
      <c r="V2075" t="s">
        <v>47</v>
      </c>
      <c r="W2075" t="s">
        <v>48</v>
      </c>
      <c r="X2075" t="s">
        <v>49</v>
      </c>
      <c r="Y2075" t="s">
        <v>50</v>
      </c>
    </row>
    <row r="2076" spans="1:25">
      <c r="A2076">
        <v>13532</v>
      </c>
      <c r="B2076" t="s">
        <v>25</v>
      </c>
      <c r="C2076" t="str">
        <f t="shared" si="66"/>
        <v>INTEGRA Hatchback</v>
      </c>
      <c r="D2076" t="str">
        <f t="shared" si="67"/>
        <v>1.5</v>
      </c>
      <c r="E2076" t="s">
        <v>1760</v>
      </c>
      <c r="F2076">
        <v>198501</v>
      </c>
      <c r="G2076">
        <v>199012</v>
      </c>
      <c r="H2076">
        <v>63</v>
      </c>
      <c r="I2076">
        <v>85</v>
      </c>
      <c r="J2076">
        <v>1488</v>
      </c>
      <c r="K2076">
        <v>1540045</v>
      </c>
      <c r="L2076" t="s">
        <v>73</v>
      </c>
      <c r="M2076" t="str">
        <f>"OC617"</f>
        <v>OC617</v>
      </c>
      <c r="N2076" t="str">
        <f>"OC 617"</f>
        <v>OC 617</v>
      </c>
      <c r="O2076" t="str">
        <f>"70384190"</f>
        <v>70384190</v>
      </c>
      <c r="P2076" t="s">
        <v>67</v>
      </c>
      <c r="Q2076" t="str">
        <f>"4009026719664"</f>
        <v>4009026719664</v>
      </c>
      <c r="R2076" t="s">
        <v>74</v>
      </c>
      <c r="S2076" t="s">
        <v>75</v>
      </c>
      <c r="T2076" s="1" t="s">
        <v>76</v>
      </c>
      <c r="U2076">
        <v>7</v>
      </c>
      <c r="V2076" t="s">
        <v>67</v>
      </c>
      <c r="W2076" t="s">
        <v>70</v>
      </c>
      <c r="X2076" t="s">
        <v>71</v>
      </c>
      <c r="Y2076" t="s">
        <v>72</v>
      </c>
    </row>
    <row r="2077" spans="1:25">
      <c r="A2077">
        <v>13532</v>
      </c>
      <c r="B2077" t="s">
        <v>25</v>
      </c>
      <c r="C2077" t="str">
        <f t="shared" si="66"/>
        <v>INTEGRA Hatchback</v>
      </c>
      <c r="D2077" t="str">
        <f t="shared" si="67"/>
        <v>1.5</v>
      </c>
      <c r="E2077" t="s">
        <v>1760</v>
      </c>
      <c r="F2077">
        <v>198501</v>
      </c>
      <c r="G2077">
        <v>199012</v>
      </c>
      <c r="H2077">
        <v>63</v>
      </c>
      <c r="I2077">
        <v>85</v>
      </c>
      <c r="J2077">
        <v>1488</v>
      </c>
      <c r="K2077">
        <v>1540057</v>
      </c>
      <c r="L2077" t="s">
        <v>73</v>
      </c>
      <c r="M2077" t="str">
        <f>"OC77"</f>
        <v>OC77</v>
      </c>
      <c r="N2077" t="str">
        <f>"OC 77"</f>
        <v>OC 77</v>
      </c>
      <c r="O2077" t="str">
        <f>"77021264"</f>
        <v>77021264</v>
      </c>
      <c r="P2077" t="s">
        <v>67</v>
      </c>
      <c r="Q2077" t="str">
        <f>"4009026032701"</f>
        <v>4009026032701</v>
      </c>
      <c r="R2077" t="s">
        <v>77</v>
      </c>
      <c r="S2077" t="s">
        <v>78</v>
      </c>
      <c r="T2077" s="1" t="s">
        <v>79</v>
      </c>
      <c r="U2077">
        <v>7</v>
      </c>
      <c r="V2077" t="s">
        <v>67</v>
      </c>
      <c r="W2077" t="s">
        <v>70</v>
      </c>
      <c r="X2077" t="s">
        <v>71</v>
      </c>
      <c r="Y2077" t="s">
        <v>72</v>
      </c>
    </row>
    <row r="2078" spans="1:25">
      <c r="A2078">
        <v>13532</v>
      </c>
      <c r="B2078" t="s">
        <v>25</v>
      </c>
      <c r="C2078" t="str">
        <f t="shared" si="66"/>
        <v>INTEGRA Hatchback</v>
      </c>
      <c r="D2078" t="str">
        <f t="shared" si="67"/>
        <v>1.5</v>
      </c>
      <c r="E2078" t="s">
        <v>1760</v>
      </c>
      <c r="F2078">
        <v>198501</v>
      </c>
      <c r="G2078">
        <v>199012</v>
      </c>
      <c r="H2078">
        <v>63</v>
      </c>
      <c r="I2078">
        <v>85</v>
      </c>
      <c r="J2078">
        <v>1488</v>
      </c>
      <c r="K2078">
        <v>1625937</v>
      </c>
      <c r="L2078" t="s">
        <v>80</v>
      </c>
      <c r="M2078" t="str">
        <f>"LS350"</f>
        <v>LS350</v>
      </c>
      <c r="N2078" t="str">
        <f>"LS350"</f>
        <v>LS350</v>
      </c>
      <c r="O2078" t="str">
        <f>""</f>
        <v/>
      </c>
      <c r="P2078" t="s">
        <v>67</v>
      </c>
      <c r="Q2078" t="str">
        <f>"3286064049903"</f>
        <v>3286064049903</v>
      </c>
      <c r="R2078" t="s">
        <v>81</v>
      </c>
      <c r="S2078" t="s">
        <v>75</v>
      </c>
      <c r="T2078" s="1" t="s">
        <v>82</v>
      </c>
      <c r="U2078">
        <v>7</v>
      </c>
      <c r="V2078" t="s">
        <v>67</v>
      </c>
      <c r="W2078" t="s">
        <v>70</v>
      </c>
      <c r="X2078" t="s">
        <v>71</v>
      </c>
      <c r="Y2078" t="s">
        <v>72</v>
      </c>
    </row>
    <row r="2079" spans="1:25">
      <c r="A2079">
        <v>13532</v>
      </c>
      <c r="B2079" t="s">
        <v>25</v>
      </c>
      <c r="C2079" t="str">
        <f t="shared" si="66"/>
        <v>INTEGRA Hatchback</v>
      </c>
      <c r="D2079" t="str">
        <f t="shared" si="67"/>
        <v>1.5</v>
      </c>
      <c r="E2079" t="s">
        <v>1760</v>
      </c>
      <c r="F2079">
        <v>198501</v>
      </c>
      <c r="G2079">
        <v>199012</v>
      </c>
      <c r="H2079">
        <v>63</v>
      </c>
      <c r="I2079">
        <v>85</v>
      </c>
      <c r="J2079">
        <v>1488</v>
      </c>
      <c r="K2079">
        <v>1669763</v>
      </c>
      <c r="L2079" t="s">
        <v>83</v>
      </c>
      <c r="M2079" t="str">
        <f>"COF102126S"</f>
        <v>COF102126S</v>
      </c>
      <c r="N2079" t="str">
        <f>"COF102126S"</f>
        <v>COF102126S</v>
      </c>
      <c r="O2079" t="str">
        <f>"COF102126S"</f>
        <v>COF102126S</v>
      </c>
      <c r="P2079" t="s">
        <v>67</v>
      </c>
      <c r="Q2079" t="str">
        <f>"4044197776986"</f>
        <v>4044197776986</v>
      </c>
      <c r="R2079" t="s">
        <v>84</v>
      </c>
      <c r="T2079" s="1" t="s">
        <v>85</v>
      </c>
      <c r="U2079">
        <v>7</v>
      </c>
      <c r="V2079" t="s">
        <v>67</v>
      </c>
      <c r="W2079" t="s">
        <v>70</v>
      </c>
      <c r="X2079" t="s">
        <v>71</v>
      </c>
      <c r="Y2079" t="s">
        <v>72</v>
      </c>
    </row>
    <row r="2080" spans="1:25">
      <c r="A2080">
        <v>13532</v>
      </c>
      <c r="B2080" t="s">
        <v>25</v>
      </c>
      <c r="C2080" t="str">
        <f t="shared" si="66"/>
        <v>INTEGRA Hatchback</v>
      </c>
      <c r="D2080" t="str">
        <f t="shared" si="67"/>
        <v>1.5</v>
      </c>
      <c r="E2080" t="s">
        <v>1760</v>
      </c>
      <c r="F2080">
        <v>198501</v>
      </c>
      <c r="G2080">
        <v>199012</v>
      </c>
      <c r="H2080">
        <v>63</v>
      </c>
      <c r="I2080">
        <v>85</v>
      </c>
      <c r="J2080">
        <v>1488</v>
      </c>
      <c r="K2080">
        <v>1669798</v>
      </c>
      <c r="L2080" t="s">
        <v>83</v>
      </c>
      <c r="M2080" t="str">
        <f>"E101606"</f>
        <v>E101606</v>
      </c>
      <c r="N2080" t="str">
        <f>"E101/606"</f>
        <v>E101/606</v>
      </c>
      <c r="O2080" t="str">
        <f>"E101"</f>
        <v>E101</v>
      </c>
      <c r="P2080" t="s">
        <v>67</v>
      </c>
      <c r="Q2080" t="str">
        <f>"5010874200319"</f>
        <v>5010874200319</v>
      </c>
      <c r="R2080" t="s">
        <v>86</v>
      </c>
      <c r="T2080" s="1" t="s">
        <v>87</v>
      </c>
      <c r="U2080">
        <v>7</v>
      </c>
      <c r="V2080" t="s">
        <v>67</v>
      </c>
      <c r="W2080" t="s">
        <v>70</v>
      </c>
      <c r="X2080" t="s">
        <v>71</v>
      </c>
      <c r="Y2080" t="s">
        <v>72</v>
      </c>
    </row>
    <row r="2081" spans="1:25">
      <c r="A2081">
        <v>13532</v>
      </c>
      <c r="B2081" t="s">
        <v>25</v>
      </c>
      <c r="C2081" t="str">
        <f t="shared" si="66"/>
        <v>INTEGRA Hatchback</v>
      </c>
      <c r="D2081" t="str">
        <f t="shared" si="67"/>
        <v>1.5</v>
      </c>
      <c r="E2081" t="s">
        <v>1760</v>
      </c>
      <c r="F2081">
        <v>198501</v>
      </c>
      <c r="G2081">
        <v>199012</v>
      </c>
      <c r="H2081">
        <v>63</v>
      </c>
      <c r="I2081">
        <v>85</v>
      </c>
      <c r="J2081">
        <v>1488</v>
      </c>
      <c r="K2081">
        <v>1669908</v>
      </c>
      <c r="L2081" t="s">
        <v>83</v>
      </c>
      <c r="M2081" t="str">
        <f>"F126606"</f>
        <v>F126606</v>
      </c>
      <c r="N2081" t="str">
        <f>"F126/606"</f>
        <v>F126/606</v>
      </c>
      <c r="O2081" t="str">
        <f>"F126"</f>
        <v>F126</v>
      </c>
      <c r="P2081" t="s">
        <v>67</v>
      </c>
      <c r="Q2081" t="str">
        <f>"5010874205260"</f>
        <v>5010874205260</v>
      </c>
      <c r="R2081" t="s">
        <v>84</v>
      </c>
      <c r="T2081" s="1" t="s">
        <v>88</v>
      </c>
      <c r="U2081">
        <v>7</v>
      </c>
      <c r="V2081" t="s">
        <v>67</v>
      </c>
      <c r="W2081" t="s">
        <v>70</v>
      </c>
      <c r="X2081" t="s">
        <v>71</v>
      </c>
      <c r="Y2081" t="s">
        <v>72</v>
      </c>
    </row>
    <row r="2082" spans="1:25">
      <c r="A2082">
        <v>13532</v>
      </c>
      <c r="B2082" t="s">
        <v>25</v>
      </c>
      <c r="C2082" t="str">
        <f t="shared" si="66"/>
        <v>INTEGRA Hatchback</v>
      </c>
      <c r="D2082" t="str">
        <f t="shared" si="67"/>
        <v>1.5</v>
      </c>
      <c r="E2082" t="s">
        <v>1760</v>
      </c>
      <c r="F2082">
        <v>198501</v>
      </c>
      <c r="G2082">
        <v>199012</v>
      </c>
      <c r="H2082">
        <v>63</v>
      </c>
      <c r="I2082">
        <v>85</v>
      </c>
      <c r="J2082">
        <v>1488</v>
      </c>
      <c r="K2082">
        <v>1801805</v>
      </c>
      <c r="L2082" t="s">
        <v>89</v>
      </c>
      <c r="M2082" t="str">
        <f>"PH5317"</f>
        <v>PH5317</v>
      </c>
      <c r="N2082" t="str">
        <f>"PH5317"</f>
        <v>PH5317</v>
      </c>
      <c r="O2082" t="str">
        <f>""</f>
        <v/>
      </c>
      <c r="P2082" t="s">
        <v>67</v>
      </c>
      <c r="Q2082" t="str">
        <f>"5022650203254"</f>
        <v>5022650203254</v>
      </c>
      <c r="R2082" t="s">
        <v>90</v>
      </c>
      <c r="S2082" t="s">
        <v>75</v>
      </c>
      <c r="T2082" s="1" t="s">
        <v>91</v>
      </c>
      <c r="U2082">
        <v>7</v>
      </c>
      <c r="V2082" t="s">
        <v>67</v>
      </c>
      <c r="W2082" t="s">
        <v>70</v>
      </c>
      <c r="X2082" t="s">
        <v>71</v>
      </c>
      <c r="Y2082" t="s">
        <v>72</v>
      </c>
    </row>
    <row r="2083" spans="1:25">
      <c r="A2083">
        <v>13532</v>
      </c>
      <c r="B2083" t="s">
        <v>25</v>
      </c>
      <c r="C2083" t="str">
        <f t="shared" si="66"/>
        <v>INTEGRA Hatchback</v>
      </c>
      <c r="D2083" t="str">
        <f t="shared" si="67"/>
        <v>1.5</v>
      </c>
      <c r="E2083" t="s">
        <v>1760</v>
      </c>
      <c r="F2083">
        <v>198501</v>
      </c>
      <c r="G2083">
        <v>199012</v>
      </c>
      <c r="H2083">
        <v>63</v>
      </c>
      <c r="I2083">
        <v>85</v>
      </c>
      <c r="J2083">
        <v>1488</v>
      </c>
      <c r="K2083">
        <v>2050022</v>
      </c>
      <c r="L2083" t="s">
        <v>92</v>
      </c>
      <c r="M2083" t="str">
        <f>"R198"</f>
        <v>R198</v>
      </c>
      <c r="N2083" t="str">
        <f>"R198"</f>
        <v>R198</v>
      </c>
      <c r="O2083" t="str">
        <f>""</f>
        <v/>
      </c>
      <c r="P2083" t="s">
        <v>67</v>
      </c>
      <c r="Q2083" t="str">
        <f>"8017265151981"</f>
        <v>8017265151981</v>
      </c>
      <c r="R2083" t="s">
        <v>93</v>
      </c>
      <c r="S2083" t="s">
        <v>75</v>
      </c>
      <c r="T2083" s="1" t="s">
        <v>94</v>
      </c>
      <c r="U2083">
        <v>7</v>
      </c>
      <c r="V2083" t="s">
        <v>67</v>
      </c>
      <c r="W2083" t="s">
        <v>70</v>
      </c>
      <c r="X2083" t="s">
        <v>71</v>
      </c>
      <c r="Y2083" t="s">
        <v>72</v>
      </c>
    </row>
    <row r="2084" spans="1:25">
      <c r="A2084">
        <v>13532</v>
      </c>
      <c r="B2084" t="s">
        <v>25</v>
      </c>
      <c r="C2084" t="str">
        <f t="shared" si="66"/>
        <v>INTEGRA Hatchback</v>
      </c>
      <c r="D2084" t="str">
        <f t="shared" si="67"/>
        <v>1.5</v>
      </c>
      <c r="E2084" t="s">
        <v>1760</v>
      </c>
      <c r="F2084">
        <v>198501</v>
      </c>
      <c r="G2084">
        <v>199012</v>
      </c>
      <c r="H2084">
        <v>63</v>
      </c>
      <c r="I2084">
        <v>85</v>
      </c>
      <c r="J2084">
        <v>1488</v>
      </c>
      <c r="K2084">
        <v>2084292</v>
      </c>
      <c r="L2084" t="s">
        <v>95</v>
      </c>
      <c r="M2084" t="str">
        <f>"150180009600"</f>
        <v>150180009600</v>
      </c>
      <c r="N2084" t="str">
        <f>"150180009600"</f>
        <v>150180009600</v>
      </c>
      <c r="O2084" t="str">
        <f>"R96"</f>
        <v>R96</v>
      </c>
      <c r="P2084" t="s">
        <v>67</v>
      </c>
      <c r="Q2084" t="str">
        <f>"8017265150960"</f>
        <v>8017265150960</v>
      </c>
      <c r="R2084" t="s">
        <v>96</v>
      </c>
      <c r="S2084" t="s">
        <v>97</v>
      </c>
      <c r="T2084" s="1" t="s">
        <v>98</v>
      </c>
      <c r="U2084">
        <v>7</v>
      </c>
      <c r="V2084" t="s">
        <v>67</v>
      </c>
      <c r="W2084" t="s">
        <v>70</v>
      </c>
      <c r="X2084" t="s">
        <v>71</v>
      </c>
      <c r="Y2084" t="s">
        <v>72</v>
      </c>
    </row>
    <row r="2085" spans="1:25">
      <c r="A2085">
        <v>13532</v>
      </c>
      <c r="B2085" t="s">
        <v>25</v>
      </c>
      <c r="C2085" t="str">
        <f t="shared" si="66"/>
        <v>INTEGRA Hatchback</v>
      </c>
      <c r="D2085" t="str">
        <f t="shared" si="67"/>
        <v>1.5</v>
      </c>
      <c r="E2085" t="s">
        <v>1760</v>
      </c>
      <c r="F2085">
        <v>198501</v>
      </c>
      <c r="G2085">
        <v>199012</v>
      </c>
      <c r="H2085">
        <v>63</v>
      </c>
      <c r="I2085">
        <v>85</v>
      </c>
      <c r="J2085">
        <v>1488</v>
      </c>
      <c r="K2085">
        <v>2084378</v>
      </c>
      <c r="L2085" t="s">
        <v>95</v>
      </c>
      <c r="M2085" t="str">
        <f>"150180042800"</f>
        <v>150180042800</v>
      </c>
      <c r="N2085" t="str">
        <f>"150180042800"</f>
        <v>150180042800</v>
      </c>
      <c r="O2085" t="str">
        <f>"R428"</f>
        <v>R428</v>
      </c>
      <c r="P2085" t="s">
        <v>67</v>
      </c>
      <c r="Q2085" t="str">
        <f>"8017265154289"</f>
        <v>8017265154289</v>
      </c>
      <c r="S2085" t="s">
        <v>99</v>
      </c>
      <c r="T2085" s="1" t="s">
        <v>100</v>
      </c>
      <c r="U2085">
        <v>7</v>
      </c>
      <c r="V2085" t="s">
        <v>67</v>
      </c>
      <c r="W2085" t="s">
        <v>70</v>
      </c>
      <c r="X2085" t="s">
        <v>71</v>
      </c>
      <c r="Y2085" t="s">
        <v>72</v>
      </c>
    </row>
    <row r="2086" spans="1:25">
      <c r="A2086">
        <v>13532</v>
      </c>
      <c r="B2086" t="s">
        <v>25</v>
      </c>
      <c r="C2086" t="str">
        <f t="shared" si="66"/>
        <v>INTEGRA Hatchback</v>
      </c>
      <c r="D2086" t="str">
        <f t="shared" si="67"/>
        <v>1.5</v>
      </c>
      <c r="E2086" t="s">
        <v>1760</v>
      </c>
      <c r="F2086">
        <v>198501</v>
      </c>
      <c r="G2086">
        <v>199012</v>
      </c>
      <c r="H2086">
        <v>63</v>
      </c>
      <c r="I2086">
        <v>85</v>
      </c>
      <c r="J2086">
        <v>1488</v>
      </c>
      <c r="K2086">
        <v>2088169</v>
      </c>
      <c r="L2086" t="s">
        <v>95</v>
      </c>
      <c r="M2086" t="str">
        <f>"154086363180"</f>
        <v>154086363180</v>
      </c>
      <c r="N2086" t="str">
        <f>"154086363180"</f>
        <v>154086363180</v>
      </c>
      <c r="O2086" t="str">
        <f>"OC194"</f>
        <v>OC194</v>
      </c>
      <c r="P2086" t="s">
        <v>67</v>
      </c>
      <c r="Q2086" t="str">
        <f>"4009026015698"</f>
        <v>4009026015698</v>
      </c>
      <c r="R2086" t="s">
        <v>101</v>
      </c>
      <c r="S2086" t="s">
        <v>102</v>
      </c>
      <c r="T2086" s="1" t="s">
        <v>103</v>
      </c>
      <c r="U2086">
        <v>7</v>
      </c>
      <c r="V2086" t="s">
        <v>67</v>
      </c>
      <c r="W2086" t="s">
        <v>70</v>
      </c>
      <c r="X2086" t="s">
        <v>71</v>
      </c>
      <c r="Y2086" t="s">
        <v>72</v>
      </c>
    </row>
    <row r="2087" spans="1:25">
      <c r="A2087">
        <v>13532</v>
      </c>
      <c r="B2087" t="s">
        <v>25</v>
      </c>
      <c r="C2087" t="str">
        <f t="shared" si="66"/>
        <v>INTEGRA Hatchback</v>
      </c>
      <c r="D2087" t="str">
        <f t="shared" si="67"/>
        <v>1.5</v>
      </c>
      <c r="E2087" t="s">
        <v>1760</v>
      </c>
      <c r="F2087">
        <v>198501</v>
      </c>
      <c r="G2087">
        <v>199012</v>
      </c>
      <c r="H2087">
        <v>63</v>
      </c>
      <c r="I2087">
        <v>85</v>
      </c>
      <c r="J2087">
        <v>1488</v>
      </c>
      <c r="K2087">
        <v>2089085</v>
      </c>
      <c r="L2087" t="s">
        <v>95</v>
      </c>
      <c r="M2087" t="str">
        <f>"154703819530"</f>
        <v>154703819530</v>
      </c>
      <c r="N2087" t="str">
        <f>"154703819530"</f>
        <v>154703819530</v>
      </c>
      <c r="O2087" t="str">
        <f>"OC606"</f>
        <v>OC606</v>
      </c>
      <c r="P2087" t="s">
        <v>67</v>
      </c>
      <c r="Q2087" t="str">
        <f>"4009026718643"</f>
        <v>4009026718643</v>
      </c>
      <c r="R2087" t="s">
        <v>104</v>
      </c>
      <c r="S2087" t="s">
        <v>102</v>
      </c>
      <c r="T2087" s="1" t="s">
        <v>105</v>
      </c>
      <c r="U2087">
        <v>7</v>
      </c>
      <c r="V2087" t="s">
        <v>67</v>
      </c>
      <c r="W2087" t="s">
        <v>70</v>
      </c>
      <c r="X2087" t="s">
        <v>71</v>
      </c>
      <c r="Y2087" t="s">
        <v>72</v>
      </c>
    </row>
    <row r="2088" spans="1:25">
      <c r="A2088">
        <v>13532</v>
      </c>
      <c r="B2088" t="s">
        <v>25</v>
      </c>
      <c r="C2088" t="str">
        <f t="shared" si="66"/>
        <v>INTEGRA Hatchback</v>
      </c>
      <c r="D2088" t="str">
        <f t="shared" si="67"/>
        <v>1.5</v>
      </c>
      <c r="E2088" t="s">
        <v>1760</v>
      </c>
      <c r="F2088">
        <v>198501</v>
      </c>
      <c r="G2088">
        <v>199012</v>
      </c>
      <c r="H2088">
        <v>63</v>
      </c>
      <c r="I2088">
        <v>85</v>
      </c>
      <c r="J2088">
        <v>1488</v>
      </c>
      <c r="K2088">
        <v>2643130</v>
      </c>
      <c r="L2088" t="s">
        <v>106</v>
      </c>
      <c r="M2088" t="str">
        <f>"V250058"</f>
        <v>V250058</v>
      </c>
      <c r="N2088" t="str">
        <f>"V25-0058"</f>
        <v>V25-0058</v>
      </c>
      <c r="O2088" t="str">
        <f>""</f>
        <v/>
      </c>
      <c r="P2088" t="s">
        <v>67</v>
      </c>
      <c r="Q2088" t="str">
        <f>"4046001288111"</f>
        <v>4046001288111</v>
      </c>
      <c r="R2088" s="1" t="s">
        <v>107</v>
      </c>
      <c r="T2088" s="1" t="s">
        <v>108</v>
      </c>
      <c r="U2088">
        <v>7</v>
      </c>
      <c r="V2088" t="s">
        <v>67</v>
      </c>
      <c r="W2088" t="s">
        <v>70</v>
      </c>
      <c r="X2088" t="s">
        <v>71</v>
      </c>
      <c r="Y2088" t="s">
        <v>72</v>
      </c>
    </row>
    <row r="2089" spans="1:25">
      <c r="A2089">
        <v>13532</v>
      </c>
      <c r="B2089" t="s">
        <v>25</v>
      </c>
      <c r="C2089" t="str">
        <f t="shared" si="66"/>
        <v>INTEGRA Hatchback</v>
      </c>
      <c r="D2089" t="str">
        <f t="shared" si="67"/>
        <v>1.5</v>
      </c>
      <c r="E2089" t="s">
        <v>1760</v>
      </c>
      <c r="F2089">
        <v>198501</v>
      </c>
      <c r="G2089">
        <v>199012</v>
      </c>
      <c r="H2089">
        <v>63</v>
      </c>
      <c r="I2089">
        <v>85</v>
      </c>
      <c r="J2089">
        <v>1488</v>
      </c>
      <c r="K2089">
        <v>2652645</v>
      </c>
      <c r="L2089" t="s">
        <v>109</v>
      </c>
      <c r="M2089" t="str">
        <f>"DO340"</f>
        <v>DO340</v>
      </c>
      <c r="N2089" t="str">
        <f>"DO 340"</f>
        <v>DO 340</v>
      </c>
      <c r="O2089" t="str">
        <f>""</f>
        <v/>
      </c>
      <c r="P2089" t="s">
        <v>67</v>
      </c>
      <c r="Q2089" t="str">
        <f>"8010042340004"</f>
        <v>8010042340004</v>
      </c>
      <c r="R2089" t="s">
        <v>110</v>
      </c>
      <c r="S2089" t="s">
        <v>78</v>
      </c>
      <c r="T2089" s="1" t="s">
        <v>111</v>
      </c>
      <c r="U2089">
        <v>7</v>
      </c>
      <c r="V2089" t="s">
        <v>67</v>
      </c>
      <c r="W2089" t="s">
        <v>70</v>
      </c>
      <c r="X2089" t="s">
        <v>71</v>
      </c>
      <c r="Y2089" t="s">
        <v>72</v>
      </c>
    </row>
    <row r="2090" spans="1:25">
      <c r="A2090">
        <v>13532</v>
      </c>
      <c r="B2090" t="s">
        <v>25</v>
      </c>
      <c r="C2090" t="str">
        <f t="shared" si="66"/>
        <v>INTEGRA Hatchback</v>
      </c>
      <c r="D2090" t="str">
        <f t="shared" si="67"/>
        <v>1.5</v>
      </c>
      <c r="E2090" t="s">
        <v>1760</v>
      </c>
      <c r="F2090">
        <v>198501</v>
      </c>
      <c r="G2090">
        <v>199012</v>
      </c>
      <c r="H2090">
        <v>63</v>
      </c>
      <c r="I2090">
        <v>85</v>
      </c>
      <c r="J2090">
        <v>1488</v>
      </c>
      <c r="K2090">
        <v>3026393</v>
      </c>
      <c r="L2090" t="s">
        <v>33</v>
      </c>
      <c r="M2090" t="str">
        <f>"J1314002"</f>
        <v>J1314002</v>
      </c>
      <c r="N2090" t="str">
        <f>"J1314002"</f>
        <v>J1314002</v>
      </c>
      <c r="O2090" t="str">
        <f>""</f>
        <v/>
      </c>
      <c r="P2090" t="s">
        <v>67</v>
      </c>
      <c r="Q2090" t="str">
        <f>"8711768032173"</f>
        <v>8711768032173</v>
      </c>
      <c r="R2090" t="s">
        <v>112</v>
      </c>
      <c r="T2090" s="1" t="s">
        <v>113</v>
      </c>
      <c r="U2090">
        <v>7</v>
      </c>
      <c r="V2090" t="s">
        <v>67</v>
      </c>
      <c r="W2090" t="s">
        <v>70</v>
      </c>
      <c r="X2090" t="s">
        <v>71</v>
      </c>
      <c r="Y2090" t="s">
        <v>72</v>
      </c>
    </row>
    <row r="2091" spans="1:25">
      <c r="A2091">
        <v>13532</v>
      </c>
      <c r="B2091" t="s">
        <v>25</v>
      </c>
      <c r="C2091" t="str">
        <f t="shared" si="66"/>
        <v>INTEGRA Hatchback</v>
      </c>
      <c r="D2091" t="str">
        <f t="shared" si="67"/>
        <v>1.5</v>
      </c>
      <c r="E2091" t="s">
        <v>1760</v>
      </c>
      <c r="F2091">
        <v>198501</v>
      </c>
      <c r="G2091">
        <v>199012</v>
      </c>
      <c r="H2091">
        <v>63</v>
      </c>
      <c r="I2091">
        <v>85</v>
      </c>
      <c r="J2091">
        <v>1488</v>
      </c>
      <c r="K2091">
        <v>3026395</v>
      </c>
      <c r="L2091" t="s">
        <v>33</v>
      </c>
      <c r="M2091" t="str">
        <f>"J1314010"</f>
        <v>J1314010</v>
      </c>
      <c r="N2091" t="str">
        <f>"J1314010"</f>
        <v>J1314010</v>
      </c>
      <c r="O2091" t="str">
        <f>""</f>
        <v/>
      </c>
      <c r="P2091" t="s">
        <v>67</v>
      </c>
      <c r="Q2091" t="str">
        <f>"8711768032197"</f>
        <v>8711768032197</v>
      </c>
      <c r="R2091" t="s">
        <v>114</v>
      </c>
      <c r="T2091" s="1" t="s">
        <v>115</v>
      </c>
      <c r="U2091">
        <v>7</v>
      </c>
      <c r="V2091" t="s">
        <v>67</v>
      </c>
      <c r="W2091" t="s">
        <v>70</v>
      </c>
      <c r="X2091" t="s">
        <v>71</v>
      </c>
      <c r="Y2091" t="s">
        <v>72</v>
      </c>
    </row>
    <row r="2092" spans="1:25">
      <c r="A2092">
        <v>13532</v>
      </c>
      <c r="B2092" t="s">
        <v>25</v>
      </c>
      <c r="C2092" t="str">
        <f t="shared" si="66"/>
        <v>INTEGRA Hatchback</v>
      </c>
      <c r="D2092" t="str">
        <f t="shared" si="67"/>
        <v>1.5</v>
      </c>
      <c r="E2092" t="s">
        <v>1760</v>
      </c>
      <c r="F2092">
        <v>198501</v>
      </c>
      <c r="G2092">
        <v>199012</v>
      </c>
      <c r="H2092">
        <v>63</v>
      </c>
      <c r="I2092">
        <v>85</v>
      </c>
      <c r="J2092">
        <v>1488</v>
      </c>
      <c r="K2092">
        <v>3280802</v>
      </c>
      <c r="L2092" t="s">
        <v>116</v>
      </c>
      <c r="M2092" t="str">
        <f>"OC617"</f>
        <v>OC617</v>
      </c>
      <c r="N2092" t="str">
        <f>"OC 617"</f>
        <v>OC 617</v>
      </c>
      <c r="O2092" t="str">
        <f>"70384191"</f>
        <v>70384191</v>
      </c>
      <c r="P2092" t="s">
        <v>67</v>
      </c>
      <c r="Q2092" t="str">
        <f>"4009026719664"</f>
        <v>4009026719664</v>
      </c>
      <c r="R2092" t="s">
        <v>74</v>
      </c>
      <c r="S2092" t="s">
        <v>75</v>
      </c>
      <c r="T2092" s="1" t="s">
        <v>76</v>
      </c>
      <c r="U2092">
        <v>7</v>
      </c>
      <c r="V2092" t="s">
        <v>67</v>
      </c>
      <c r="W2092" t="s">
        <v>70</v>
      </c>
      <c r="X2092" t="s">
        <v>71</v>
      </c>
      <c r="Y2092" t="s">
        <v>72</v>
      </c>
    </row>
    <row r="2093" spans="1:25">
      <c r="A2093">
        <v>13532</v>
      </c>
      <c r="B2093" t="s">
        <v>25</v>
      </c>
      <c r="C2093" t="str">
        <f t="shared" si="66"/>
        <v>INTEGRA Hatchback</v>
      </c>
      <c r="D2093" t="str">
        <f t="shared" si="67"/>
        <v>1.5</v>
      </c>
      <c r="E2093" t="s">
        <v>1760</v>
      </c>
      <c r="F2093">
        <v>198501</v>
      </c>
      <c r="G2093">
        <v>199012</v>
      </c>
      <c r="H2093">
        <v>63</v>
      </c>
      <c r="I2093">
        <v>85</v>
      </c>
      <c r="J2093">
        <v>1488</v>
      </c>
      <c r="K2093">
        <v>3280819</v>
      </c>
      <c r="L2093" t="s">
        <v>116</v>
      </c>
      <c r="M2093" t="str">
        <f>"OC77"</f>
        <v>OC77</v>
      </c>
      <c r="N2093" t="str">
        <f>"OC 77"</f>
        <v>OC 77</v>
      </c>
      <c r="O2093" t="str">
        <f>"77021272"</f>
        <v>77021272</v>
      </c>
      <c r="P2093" t="s">
        <v>67</v>
      </c>
      <c r="Q2093" t="str">
        <f>"4009026032701"</f>
        <v>4009026032701</v>
      </c>
      <c r="R2093" t="s">
        <v>77</v>
      </c>
      <c r="S2093" t="s">
        <v>78</v>
      </c>
      <c r="T2093" s="1" t="s">
        <v>79</v>
      </c>
      <c r="U2093">
        <v>7</v>
      </c>
      <c r="V2093" t="s">
        <v>67</v>
      </c>
      <c r="W2093" t="s">
        <v>70</v>
      </c>
      <c r="X2093" t="s">
        <v>71</v>
      </c>
      <c r="Y2093" t="s">
        <v>72</v>
      </c>
    </row>
    <row r="2094" spans="1:25">
      <c r="A2094">
        <v>13532</v>
      </c>
      <c r="B2094" t="s">
        <v>25</v>
      </c>
      <c r="C2094" t="str">
        <f t="shared" si="66"/>
        <v>INTEGRA Hatchback</v>
      </c>
      <c r="D2094" t="str">
        <f t="shared" si="67"/>
        <v>1.5</v>
      </c>
      <c r="E2094" t="s">
        <v>1760</v>
      </c>
      <c r="F2094">
        <v>198501</v>
      </c>
      <c r="G2094">
        <v>199012</v>
      </c>
      <c r="H2094">
        <v>63</v>
      </c>
      <c r="I2094">
        <v>85</v>
      </c>
      <c r="J2094">
        <v>1488</v>
      </c>
      <c r="K2094">
        <v>3284778</v>
      </c>
      <c r="L2094" t="s">
        <v>117</v>
      </c>
      <c r="M2094" t="str">
        <f>"BC1377"</f>
        <v>BC1377</v>
      </c>
      <c r="N2094" t="str">
        <f>"BC-1377"</f>
        <v>BC-1377</v>
      </c>
      <c r="O2094" t="str">
        <f>""</f>
        <v/>
      </c>
      <c r="P2094" t="s">
        <v>67</v>
      </c>
      <c r="Q2094" t="str">
        <f>"8430298437707"</f>
        <v>8430298437707</v>
      </c>
      <c r="R2094" t="s">
        <v>81</v>
      </c>
      <c r="S2094" t="s">
        <v>75</v>
      </c>
      <c r="T2094" s="1" t="s">
        <v>118</v>
      </c>
      <c r="U2094">
        <v>7</v>
      </c>
      <c r="V2094" t="s">
        <v>67</v>
      </c>
      <c r="W2094" t="s">
        <v>70</v>
      </c>
      <c r="X2094" t="s">
        <v>71</v>
      </c>
      <c r="Y2094" t="s">
        <v>72</v>
      </c>
    </row>
    <row r="2095" spans="1:25">
      <c r="A2095">
        <v>13532</v>
      </c>
      <c r="B2095" t="s">
        <v>25</v>
      </c>
      <c r="C2095" t="str">
        <f t="shared" si="66"/>
        <v>INTEGRA Hatchback</v>
      </c>
      <c r="D2095" t="str">
        <f t="shared" si="67"/>
        <v>1.5</v>
      </c>
      <c r="E2095" t="s">
        <v>1760</v>
      </c>
      <c r="F2095">
        <v>198501</v>
      </c>
      <c r="G2095">
        <v>199012</v>
      </c>
      <c r="H2095">
        <v>63</v>
      </c>
      <c r="I2095">
        <v>85</v>
      </c>
      <c r="J2095">
        <v>1488</v>
      </c>
      <c r="K2095">
        <v>3652974</v>
      </c>
      <c r="L2095" t="s">
        <v>119</v>
      </c>
      <c r="M2095" t="str">
        <f>"XO127"</f>
        <v>XO127</v>
      </c>
      <c r="N2095" t="str">
        <f>"XO127"</f>
        <v>XO127</v>
      </c>
      <c r="O2095" t="str">
        <f>""</f>
        <v/>
      </c>
      <c r="P2095" t="s">
        <v>67</v>
      </c>
      <c r="Q2095" t="str">
        <f>""</f>
        <v/>
      </c>
      <c r="R2095" s="1" t="s">
        <v>120</v>
      </c>
      <c r="T2095" t="s">
        <v>121</v>
      </c>
      <c r="U2095">
        <v>7</v>
      </c>
      <c r="V2095" t="s">
        <v>67</v>
      </c>
      <c r="W2095" t="s">
        <v>70</v>
      </c>
      <c r="X2095" t="s">
        <v>71</v>
      </c>
      <c r="Y2095" t="s">
        <v>72</v>
      </c>
    </row>
    <row r="2096" spans="1:25">
      <c r="A2096">
        <v>13532</v>
      </c>
      <c r="B2096" t="s">
        <v>25</v>
      </c>
      <c r="C2096" t="str">
        <f t="shared" si="66"/>
        <v>INTEGRA Hatchback</v>
      </c>
      <c r="D2096" t="str">
        <f t="shared" si="67"/>
        <v>1.5</v>
      </c>
      <c r="E2096" t="s">
        <v>1760</v>
      </c>
      <c r="F2096">
        <v>198501</v>
      </c>
      <c r="G2096">
        <v>199012</v>
      </c>
      <c r="H2096">
        <v>63</v>
      </c>
      <c r="I2096">
        <v>85</v>
      </c>
      <c r="J2096">
        <v>1488</v>
      </c>
      <c r="K2096">
        <v>3653257</v>
      </c>
      <c r="L2096" t="s">
        <v>119</v>
      </c>
      <c r="M2096" t="str">
        <f>"XO42"</f>
        <v>XO42</v>
      </c>
      <c r="N2096" t="str">
        <f>"XO42"</f>
        <v>XO42</v>
      </c>
      <c r="O2096" t="str">
        <f>""</f>
        <v/>
      </c>
      <c r="P2096" t="s">
        <v>67</v>
      </c>
      <c r="Q2096" t="str">
        <f>""</f>
        <v/>
      </c>
      <c r="R2096" t="s">
        <v>122</v>
      </c>
      <c r="T2096" s="1" t="s">
        <v>123</v>
      </c>
      <c r="U2096">
        <v>7</v>
      </c>
      <c r="V2096" t="s">
        <v>67</v>
      </c>
      <c r="W2096" t="s">
        <v>70</v>
      </c>
      <c r="X2096" t="s">
        <v>71</v>
      </c>
      <c r="Y2096" t="s">
        <v>72</v>
      </c>
    </row>
    <row r="2097" spans="1:25">
      <c r="A2097">
        <v>13532</v>
      </c>
      <c r="B2097" t="s">
        <v>25</v>
      </c>
      <c r="C2097" t="str">
        <f t="shared" si="66"/>
        <v>INTEGRA Hatchback</v>
      </c>
      <c r="D2097" t="str">
        <f t="shared" si="67"/>
        <v>1.5</v>
      </c>
      <c r="E2097" t="s">
        <v>1760</v>
      </c>
      <c r="F2097">
        <v>198501</v>
      </c>
      <c r="G2097">
        <v>199012</v>
      </c>
      <c r="H2097">
        <v>63</v>
      </c>
      <c r="I2097">
        <v>85</v>
      </c>
      <c r="J2097">
        <v>1488</v>
      </c>
      <c r="K2097">
        <v>3920983</v>
      </c>
      <c r="L2097" t="s">
        <v>124</v>
      </c>
      <c r="M2097" t="str">
        <f>"FT5407"</f>
        <v>FT5407</v>
      </c>
      <c r="N2097" t="str">
        <f>"FT5407"</f>
        <v>FT5407</v>
      </c>
      <c r="O2097" t="str">
        <f>""</f>
        <v/>
      </c>
      <c r="P2097" t="s">
        <v>67</v>
      </c>
      <c r="Q2097" t="str">
        <f>"8012658065425"</f>
        <v>8012658065425</v>
      </c>
      <c r="R2097" t="s">
        <v>125</v>
      </c>
      <c r="S2097" t="s">
        <v>75</v>
      </c>
      <c r="T2097" s="1" t="s">
        <v>126</v>
      </c>
      <c r="U2097">
        <v>7</v>
      </c>
      <c r="V2097" t="s">
        <v>67</v>
      </c>
      <c r="W2097" t="s">
        <v>70</v>
      </c>
      <c r="X2097" t="s">
        <v>71</v>
      </c>
      <c r="Y2097" t="s">
        <v>72</v>
      </c>
    </row>
    <row r="2098" spans="1:25">
      <c r="A2098">
        <v>13532</v>
      </c>
      <c r="B2098" t="s">
        <v>25</v>
      </c>
      <c r="C2098" t="str">
        <f t="shared" si="66"/>
        <v>INTEGRA Hatchback</v>
      </c>
      <c r="D2098" t="str">
        <f t="shared" si="67"/>
        <v>1.5</v>
      </c>
      <c r="E2098" t="s">
        <v>1760</v>
      </c>
      <c r="F2098">
        <v>198501</v>
      </c>
      <c r="G2098">
        <v>199012</v>
      </c>
      <c r="H2098">
        <v>63</v>
      </c>
      <c r="I2098">
        <v>85</v>
      </c>
      <c r="J2098">
        <v>1488</v>
      </c>
      <c r="K2098">
        <v>3963822</v>
      </c>
      <c r="L2098" t="s">
        <v>27</v>
      </c>
      <c r="M2098" t="str">
        <f>"H08201"</f>
        <v>H08201</v>
      </c>
      <c r="N2098" t="str">
        <f>"H082-01"</f>
        <v>H082-01</v>
      </c>
      <c r="O2098" t="str">
        <f>""</f>
        <v/>
      </c>
      <c r="P2098" t="s">
        <v>67</v>
      </c>
      <c r="Q2098" t="str">
        <f>"8718993208748"</f>
        <v>8718993208748</v>
      </c>
      <c r="R2098" t="s">
        <v>127</v>
      </c>
      <c r="T2098" s="1" t="s">
        <v>128</v>
      </c>
      <c r="U2098">
        <v>7</v>
      </c>
      <c r="V2098" t="s">
        <v>67</v>
      </c>
      <c r="W2098" t="s">
        <v>70</v>
      </c>
      <c r="X2098" t="s">
        <v>71</v>
      </c>
      <c r="Y2098" t="s">
        <v>72</v>
      </c>
    </row>
    <row r="2099" spans="1:25">
      <c r="A2099">
        <v>13532</v>
      </c>
      <c r="B2099" t="s">
        <v>25</v>
      </c>
      <c r="C2099" t="str">
        <f t="shared" si="66"/>
        <v>INTEGRA Hatchback</v>
      </c>
      <c r="D2099" t="str">
        <f t="shared" si="67"/>
        <v>1.5</v>
      </c>
      <c r="E2099" t="s">
        <v>1760</v>
      </c>
      <c r="F2099">
        <v>198501</v>
      </c>
      <c r="G2099">
        <v>199012</v>
      </c>
      <c r="H2099">
        <v>63</v>
      </c>
      <c r="I2099">
        <v>85</v>
      </c>
      <c r="J2099">
        <v>1488</v>
      </c>
      <c r="K2099">
        <v>4277083</v>
      </c>
      <c r="L2099" t="s">
        <v>129</v>
      </c>
      <c r="M2099" t="str">
        <f>"18010081046"</f>
        <v>18010081046</v>
      </c>
      <c r="N2099" t="str">
        <f>"1801.0081046"</f>
        <v>1801.0081046</v>
      </c>
      <c r="O2099" t="str">
        <f>""</f>
        <v/>
      </c>
      <c r="P2099" t="s">
        <v>67</v>
      </c>
      <c r="Q2099" t="str">
        <f>"8421779531984"</f>
        <v>8421779531984</v>
      </c>
      <c r="R2099" t="s">
        <v>130</v>
      </c>
      <c r="T2099" s="1" t="s">
        <v>131</v>
      </c>
      <c r="U2099">
        <v>7</v>
      </c>
      <c r="V2099" t="s">
        <v>67</v>
      </c>
      <c r="W2099" t="s">
        <v>70</v>
      </c>
      <c r="X2099" t="s">
        <v>71</v>
      </c>
      <c r="Y2099" t="s">
        <v>72</v>
      </c>
    </row>
    <row r="2100" spans="1:25">
      <c r="A2100">
        <v>13532</v>
      </c>
      <c r="B2100" t="s">
        <v>25</v>
      </c>
      <c r="C2100" t="str">
        <f t="shared" si="66"/>
        <v>INTEGRA Hatchback</v>
      </c>
      <c r="D2100" t="str">
        <f t="shared" si="67"/>
        <v>1.5</v>
      </c>
      <c r="E2100" t="s">
        <v>1760</v>
      </c>
      <c r="F2100">
        <v>198501</v>
      </c>
      <c r="G2100">
        <v>199012</v>
      </c>
      <c r="H2100">
        <v>63</v>
      </c>
      <c r="I2100">
        <v>85</v>
      </c>
      <c r="J2100">
        <v>1488</v>
      </c>
      <c r="K2100">
        <v>709962</v>
      </c>
      <c r="L2100" t="s">
        <v>83</v>
      </c>
      <c r="M2100" t="str">
        <f>"CAF100183R"</f>
        <v>CAF100183R</v>
      </c>
      <c r="N2100" t="str">
        <f>"CAF100183R"</f>
        <v>CAF100183R</v>
      </c>
      <c r="O2100" t="str">
        <f>"CAF100183R"</f>
        <v>CAF100183R</v>
      </c>
      <c r="P2100" t="s">
        <v>132</v>
      </c>
      <c r="Q2100" t="str">
        <f>"4044197804061"</f>
        <v>4044197804061</v>
      </c>
      <c r="R2100" t="s">
        <v>133</v>
      </c>
      <c r="T2100" s="1" t="s">
        <v>134</v>
      </c>
      <c r="U2100">
        <v>8</v>
      </c>
      <c r="V2100" t="s">
        <v>132</v>
      </c>
      <c r="W2100" t="s">
        <v>70</v>
      </c>
      <c r="X2100" t="s">
        <v>135</v>
      </c>
      <c r="Y2100" t="s">
        <v>136</v>
      </c>
    </row>
    <row r="2101" spans="1:25">
      <c r="A2101">
        <v>13532</v>
      </c>
      <c r="B2101" t="s">
        <v>25</v>
      </c>
      <c r="C2101" t="str">
        <f t="shared" si="66"/>
        <v>INTEGRA Hatchback</v>
      </c>
      <c r="D2101" t="str">
        <f t="shared" si="67"/>
        <v>1.5</v>
      </c>
      <c r="E2101" t="s">
        <v>1760</v>
      </c>
      <c r="F2101">
        <v>198501</v>
      </c>
      <c r="G2101">
        <v>199012</v>
      </c>
      <c r="H2101">
        <v>63</v>
      </c>
      <c r="I2101">
        <v>85</v>
      </c>
      <c r="J2101">
        <v>1488</v>
      </c>
      <c r="K2101">
        <v>1539724</v>
      </c>
      <c r="L2101" t="s">
        <v>73</v>
      </c>
      <c r="M2101" t="str">
        <f>"LX897"</f>
        <v>LX897</v>
      </c>
      <c r="N2101" t="str">
        <f>"LX 897"</f>
        <v>LX 897</v>
      </c>
      <c r="O2101" t="str">
        <f>"78444184"</f>
        <v>78444184</v>
      </c>
      <c r="P2101" t="s">
        <v>132</v>
      </c>
      <c r="Q2101" t="str">
        <f>"4009026103852"</f>
        <v>4009026103852</v>
      </c>
      <c r="R2101" t="s">
        <v>137</v>
      </c>
      <c r="T2101" s="1" t="s">
        <v>138</v>
      </c>
      <c r="U2101">
        <v>8</v>
      </c>
      <c r="V2101" t="s">
        <v>132</v>
      </c>
      <c r="W2101" t="s">
        <v>70</v>
      </c>
      <c r="X2101" t="s">
        <v>135</v>
      </c>
      <c r="Y2101" t="s">
        <v>136</v>
      </c>
    </row>
    <row r="2102" spans="1:25">
      <c r="A2102">
        <v>13532</v>
      </c>
      <c r="B2102" t="s">
        <v>25</v>
      </c>
      <c r="C2102" t="str">
        <f t="shared" si="66"/>
        <v>INTEGRA Hatchback</v>
      </c>
      <c r="D2102" t="str">
        <f t="shared" si="67"/>
        <v>1.5</v>
      </c>
      <c r="E2102" t="s">
        <v>1760</v>
      </c>
      <c r="F2102">
        <v>198501</v>
      </c>
      <c r="G2102">
        <v>199012</v>
      </c>
      <c r="H2102">
        <v>63</v>
      </c>
      <c r="I2102">
        <v>85</v>
      </c>
      <c r="J2102">
        <v>1488</v>
      </c>
      <c r="K2102">
        <v>1671163</v>
      </c>
      <c r="L2102" t="s">
        <v>83</v>
      </c>
      <c r="M2102" t="str">
        <f>"W183606"</f>
        <v>W183606</v>
      </c>
      <c r="N2102" t="str">
        <f>"W183/606"</f>
        <v>W183/606</v>
      </c>
      <c r="O2102" t="str">
        <f>"W183"</f>
        <v>W183</v>
      </c>
      <c r="P2102" t="s">
        <v>132</v>
      </c>
      <c r="Q2102" t="str">
        <f>"5010874241831"</f>
        <v>5010874241831</v>
      </c>
      <c r="R2102" t="s">
        <v>133</v>
      </c>
      <c r="T2102" s="1" t="s">
        <v>139</v>
      </c>
      <c r="U2102">
        <v>8</v>
      </c>
      <c r="V2102" t="s">
        <v>132</v>
      </c>
      <c r="W2102" t="s">
        <v>70</v>
      </c>
      <c r="X2102" t="s">
        <v>135</v>
      </c>
      <c r="Y2102" t="s">
        <v>136</v>
      </c>
    </row>
    <row r="2103" spans="1:25">
      <c r="A2103">
        <v>13532</v>
      </c>
      <c r="B2103" t="s">
        <v>25</v>
      </c>
      <c r="C2103" t="str">
        <f t="shared" si="66"/>
        <v>INTEGRA Hatchback</v>
      </c>
      <c r="D2103" t="str">
        <f t="shared" si="67"/>
        <v>1.5</v>
      </c>
      <c r="E2103" t="s">
        <v>1760</v>
      </c>
      <c r="F2103">
        <v>198501</v>
      </c>
      <c r="G2103">
        <v>199012</v>
      </c>
      <c r="H2103">
        <v>63</v>
      </c>
      <c r="I2103">
        <v>85</v>
      </c>
      <c r="J2103">
        <v>1488</v>
      </c>
      <c r="K2103">
        <v>2083544</v>
      </c>
      <c r="L2103" t="s">
        <v>95</v>
      </c>
      <c r="M2103" t="str">
        <f>"150010025400"</f>
        <v>150010025400</v>
      </c>
      <c r="N2103" t="str">
        <f>"150010025400"</f>
        <v>150010025400</v>
      </c>
      <c r="O2103" t="str">
        <f>"A254"</f>
        <v>A254</v>
      </c>
      <c r="P2103" t="s">
        <v>132</v>
      </c>
      <c r="Q2103" t="str">
        <f>"8017265102549"</f>
        <v>8017265102549</v>
      </c>
      <c r="R2103" t="s">
        <v>140</v>
      </c>
      <c r="S2103" t="s">
        <v>102</v>
      </c>
      <c r="T2103" s="1" t="s">
        <v>141</v>
      </c>
      <c r="U2103">
        <v>8</v>
      </c>
      <c r="V2103" t="s">
        <v>132</v>
      </c>
      <c r="W2103" t="s">
        <v>70</v>
      </c>
      <c r="X2103" t="s">
        <v>135</v>
      </c>
      <c r="Y2103" t="s">
        <v>136</v>
      </c>
    </row>
    <row r="2104" spans="1:25">
      <c r="A2104">
        <v>13532</v>
      </c>
      <c r="B2104" t="s">
        <v>25</v>
      </c>
      <c r="C2104" t="str">
        <f t="shared" si="66"/>
        <v>INTEGRA Hatchback</v>
      </c>
      <c r="D2104" t="str">
        <f t="shared" si="67"/>
        <v>1.5</v>
      </c>
      <c r="E2104" t="s">
        <v>1760</v>
      </c>
      <c r="F2104">
        <v>198501</v>
      </c>
      <c r="G2104">
        <v>199012</v>
      </c>
      <c r="H2104">
        <v>63</v>
      </c>
      <c r="I2104">
        <v>85</v>
      </c>
      <c r="J2104">
        <v>1488</v>
      </c>
      <c r="K2104">
        <v>2088030</v>
      </c>
      <c r="L2104" t="s">
        <v>95</v>
      </c>
      <c r="M2104" t="str">
        <f>"154084441920"</f>
        <v>154084441920</v>
      </c>
      <c r="N2104" t="str">
        <f>"154084441920"</f>
        <v>154084441920</v>
      </c>
      <c r="O2104" t="str">
        <f>"LX897"</f>
        <v>LX897</v>
      </c>
      <c r="P2104" t="s">
        <v>132</v>
      </c>
      <c r="Q2104" t="str">
        <f>"4009026103852"</f>
        <v>4009026103852</v>
      </c>
      <c r="R2104" t="s">
        <v>142</v>
      </c>
      <c r="S2104" t="s">
        <v>102</v>
      </c>
      <c r="T2104" s="1" t="s">
        <v>143</v>
      </c>
      <c r="U2104">
        <v>8</v>
      </c>
      <c r="V2104" t="s">
        <v>132</v>
      </c>
      <c r="W2104" t="s">
        <v>70</v>
      </c>
      <c r="X2104" t="s">
        <v>135</v>
      </c>
      <c r="Y2104" t="s">
        <v>136</v>
      </c>
    </row>
    <row r="2105" spans="1:25">
      <c r="A2105">
        <v>13532</v>
      </c>
      <c r="B2105" t="s">
        <v>25</v>
      </c>
      <c r="C2105" t="str">
        <f t="shared" si="66"/>
        <v>INTEGRA Hatchback</v>
      </c>
      <c r="D2105" t="str">
        <f t="shared" si="67"/>
        <v>1.5</v>
      </c>
      <c r="E2105" t="s">
        <v>1760</v>
      </c>
      <c r="F2105">
        <v>198501</v>
      </c>
      <c r="G2105">
        <v>199012</v>
      </c>
      <c r="H2105">
        <v>63</v>
      </c>
      <c r="I2105">
        <v>85</v>
      </c>
      <c r="J2105">
        <v>1488</v>
      </c>
      <c r="K2105">
        <v>2390771</v>
      </c>
      <c r="L2105" t="s">
        <v>144</v>
      </c>
      <c r="M2105" t="str">
        <f>"60567"</f>
        <v>60567</v>
      </c>
      <c r="N2105" t="str">
        <f>"60567"</f>
        <v>60567</v>
      </c>
      <c r="O2105" t="str">
        <f>""</f>
        <v/>
      </c>
      <c r="P2105" t="s">
        <v>132</v>
      </c>
      <c r="Q2105" t="str">
        <f>"4043605412065"</f>
        <v>4043605412065</v>
      </c>
      <c r="R2105" t="s">
        <v>145</v>
      </c>
      <c r="T2105" s="1" t="s">
        <v>146</v>
      </c>
      <c r="U2105">
        <v>8</v>
      </c>
      <c r="V2105" t="s">
        <v>132</v>
      </c>
      <c r="W2105" t="s">
        <v>70</v>
      </c>
      <c r="X2105" t="s">
        <v>135</v>
      </c>
      <c r="Y2105" t="s">
        <v>136</v>
      </c>
    </row>
    <row r="2106" spans="1:25">
      <c r="A2106">
        <v>13532</v>
      </c>
      <c r="B2106" t="s">
        <v>25</v>
      </c>
      <c r="C2106" t="str">
        <f t="shared" si="66"/>
        <v>INTEGRA Hatchback</v>
      </c>
      <c r="D2106" t="str">
        <f t="shared" si="67"/>
        <v>1.5</v>
      </c>
      <c r="E2106" t="s">
        <v>1760</v>
      </c>
      <c r="F2106">
        <v>198501</v>
      </c>
      <c r="G2106">
        <v>199012</v>
      </c>
      <c r="H2106">
        <v>63</v>
      </c>
      <c r="I2106">
        <v>85</v>
      </c>
      <c r="J2106">
        <v>1488</v>
      </c>
      <c r="K2106">
        <v>2653149</v>
      </c>
      <c r="L2106" t="s">
        <v>109</v>
      </c>
      <c r="M2106" t="str">
        <f>"MA672"</f>
        <v>MA672</v>
      </c>
      <c r="N2106" t="str">
        <f>"MA 672"</f>
        <v>MA 672</v>
      </c>
      <c r="O2106" t="str">
        <f>""</f>
        <v/>
      </c>
      <c r="P2106" t="s">
        <v>132</v>
      </c>
      <c r="Q2106" t="str">
        <f>"8010042672006"</f>
        <v>8010042672006</v>
      </c>
      <c r="R2106" t="s">
        <v>147</v>
      </c>
      <c r="T2106" s="1" t="s">
        <v>148</v>
      </c>
      <c r="U2106">
        <v>8</v>
      </c>
      <c r="V2106" t="s">
        <v>132</v>
      </c>
      <c r="W2106" t="s">
        <v>70</v>
      </c>
      <c r="X2106" t="s">
        <v>135</v>
      </c>
      <c r="Y2106" t="s">
        <v>136</v>
      </c>
    </row>
    <row r="2107" spans="1:25">
      <c r="A2107">
        <v>13532</v>
      </c>
      <c r="B2107" t="s">
        <v>25</v>
      </c>
      <c r="C2107" t="str">
        <f t="shared" si="66"/>
        <v>INTEGRA Hatchback</v>
      </c>
      <c r="D2107" t="str">
        <f t="shared" si="67"/>
        <v>1.5</v>
      </c>
      <c r="E2107" t="s">
        <v>1760</v>
      </c>
      <c r="F2107">
        <v>198501</v>
      </c>
      <c r="G2107">
        <v>199012</v>
      </c>
      <c r="H2107">
        <v>63</v>
      </c>
      <c r="I2107">
        <v>85</v>
      </c>
      <c r="J2107">
        <v>1488</v>
      </c>
      <c r="K2107">
        <v>2717457</v>
      </c>
      <c r="L2107" t="s">
        <v>149</v>
      </c>
      <c r="M2107" t="str">
        <f>"A141326"</f>
        <v>A141326</v>
      </c>
      <c r="N2107" t="str">
        <f>"A141326"</f>
        <v>A141326</v>
      </c>
      <c r="O2107" t="str">
        <f>""</f>
        <v/>
      </c>
      <c r="P2107" t="s">
        <v>132</v>
      </c>
      <c r="Q2107" t="str">
        <f>"5901225744586"</f>
        <v>5901225744586</v>
      </c>
      <c r="T2107" t="s">
        <v>150</v>
      </c>
      <c r="U2107">
        <v>8</v>
      </c>
      <c r="V2107" t="s">
        <v>132</v>
      </c>
      <c r="W2107" t="s">
        <v>70</v>
      </c>
      <c r="X2107" t="s">
        <v>135</v>
      </c>
      <c r="Y2107" t="s">
        <v>136</v>
      </c>
    </row>
    <row r="2108" spans="1:25">
      <c r="A2108">
        <v>13532</v>
      </c>
      <c r="B2108" t="s">
        <v>25</v>
      </c>
      <c r="C2108" t="str">
        <f t="shared" si="66"/>
        <v>INTEGRA Hatchback</v>
      </c>
      <c r="D2108" t="str">
        <f t="shared" si="67"/>
        <v>1.5</v>
      </c>
      <c r="E2108" t="s">
        <v>1760</v>
      </c>
      <c r="F2108">
        <v>198501</v>
      </c>
      <c r="G2108">
        <v>199012</v>
      </c>
      <c r="H2108">
        <v>63</v>
      </c>
      <c r="I2108">
        <v>85</v>
      </c>
      <c r="J2108">
        <v>1488</v>
      </c>
      <c r="K2108">
        <v>3026664</v>
      </c>
      <c r="L2108" t="s">
        <v>33</v>
      </c>
      <c r="M2108" t="str">
        <f>"J1324006"</f>
        <v>J1324006</v>
      </c>
      <c r="N2108" t="str">
        <f>"J1324006"</f>
        <v>J1324006</v>
      </c>
      <c r="O2108" t="str">
        <f>""</f>
        <v/>
      </c>
      <c r="P2108" t="s">
        <v>132</v>
      </c>
      <c r="Q2108" t="str">
        <f>"8711768033873"</f>
        <v>8711768033873</v>
      </c>
      <c r="R2108" t="s">
        <v>153</v>
      </c>
      <c r="T2108" s="1" t="s">
        <v>154</v>
      </c>
      <c r="U2108">
        <v>8</v>
      </c>
      <c r="V2108" t="s">
        <v>132</v>
      </c>
      <c r="W2108" t="s">
        <v>70</v>
      </c>
      <c r="X2108" t="s">
        <v>135</v>
      </c>
      <c r="Y2108" t="s">
        <v>136</v>
      </c>
    </row>
    <row r="2109" spans="1:25">
      <c r="A2109">
        <v>13532</v>
      </c>
      <c r="B2109" t="s">
        <v>25</v>
      </c>
      <c r="C2109" t="str">
        <f t="shared" si="66"/>
        <v>INTEGRA Hatchback</v>
      </c>
      <c r="D2109" t="str">
        <f t="shared" si="67"/>
        <v>1.5</v>
      </c>
      <c r="E2109" t="s">
        <v>1760</v>
      </c>
      <c r="F2109">
        <v>198501</v>
      </c>
      <c r="G2109">
        <v>199012</v>
      </c>
      <c r="H2109">
        <v>63</v>
      </c>
      <c r="I2109">
        <v>85</v>
      </c>
      <c r="J2109">
        <v>1488</v>
      </c>
      <c r="K2109">
        <v>3278320</v>
      </c>
      <c r="L2109" t="s">
        <v>116</v>
      </c>
      <c r="M2109" t="str">
        <f>"LX897"</f>
        <v>LX897</v>
      </c>
      <c r="N2109" t="str">
        <f>"LX 897"</f>
        <v>LX 897</v>
      </c>
      <c r="O2109" t="str">
        <f>"78444192"</f>
        <v>78444192</v>
      </c>
      <c r="P2109" t="s">
        <v>132</v>
      </c>
      <c r="Q2109" t="str">
        <f>"4009026103852"</f>
        <v>4009026103852</v>
      </c>
      <c r="R2109" t="s">
        <v>137</v>
      </c>
      <c r="T2109" s="1" t="s">
        <v>155</v>
      </c>
      <c r="U2109">
        <v>8</v>
      </c>
      <c r="V2109" t="s">
        <v>132</v>
      </c>
      <c r="W2109" t="s">
        <v>70</v>
      </c>
      <c r="X2109" t="s">
        <v>135</v>
      </c>
      <c r="Y2109" t="s">
        <v>136</v>
      </c>
    </row>
    <row r="2110" spans="1:25">
      <c r="A2110">
        <v>13532</v>
      </c>
      <c r="B2110" t="s">
        <v>25</v>
      </c>
      <c r="C2110" t="str">
        <f t="shared" si="66"/>
        <v>INTEGRA Hatchback</v>
      </c>
      <c r="D2110" t="str">
        <f t="shared" si="67"/>
        <v>1.5</v>
      </c>
      <c r="E2110" t="s">
        <v>1760</v>
      </c>
      <c r="F2110">
        <v>198501</v>
      </c>
      <c r="G2110">
        <v>199012</v>
      </c>
      <c r="H2110">
        <v>63</v>
      </c>
      <c r="I2110">
        <v>85</v>
      </c>
      <c r="J2110">
        <v>1488</v>
      </c>
      <c r="K2110">
        <v>3963826</v>
      </c>
      <c r="L2110" t="s">
        <v>27</v>
      </c>
      <c r="M2110" t="str">
        <f>"H08503"</f>
        <v>H08503</v>
      </c>
      <c r="N2110" t="str">
        <f>"H085-03"</f>
        <v>H085-03</v>
      </c>
      <c r="O2110" t="str">
        <f>""</f>
        <v/>
      </c>
      <c r="P2110" t="s">
        <v>132</v>
      </c>
      <c r="Q2110" t="str">
        <f>"8718993208779"</f>
        <v>8718993208779</v>
      </c>
      <c r="R2110" t="s">
        <v>157</v>
      </c>
      <c r="T2110" s="1" t="s">
        <v>158</v>
      </c>
      <c r="U2110">
        <v>8</v>
      </c>
      <c r="V2110" t="s">
        <v>132</v>
      </c>
      <c r="W2110" t="s">
        <v>70</v>
      </c>
      <c r="X2110" t="s">
        <v>135</v>
      </c>
      <c r="Y2110" t="s">
        <v>136</v>
      </c>
    </row>
    <row r="2111" spans="1:25">
      <c r="A2111">
        <v>13532</v>
      </c>
      <c r="B2111" t="s">
        <v>25</v>
      </c>
      <c r="C2111" t="str">
        <f t="shared" si="66"/>
        <v>INTEGRA Hatchback</v>
      </c>
      <c r="D2111" t="str">
        <f t="shared" si="67"/>
        <v>1.5</v>
      </c>
      <c r="E2111" t="s">
        <v>1760</v>
      </c>
      <c r="F2111">
        <v>198501</v>
      </c>
      <c r="G2111">
        <v>199012</v>
      </c>
      <c r="H2111">
        <v>63</v>
      </c>
      <c r="I2111">
        <v>85</v>
      </c>
      <c r="J2111">
        <v>1488</v>
      </c>
      <c r="K2111">
        <v>710326</v>
      </c>
      <c r="L2111" t="s">
        <v>83</v>
      </c>
      <c r="M2111" t="str">
        <f>"L586606"</f>
        <v>L586606</v>
      </c>
      <c r="N2111" t="str">
        <f>"L586/606"</f>
        <v>L586/606</v>
      </c>
      <c r="O2111" t="str">
        <f>"L586"</f>
        <v>L586</v>
      </c>
      <c r="P2111" t="s">
        <v>159</v>
      </c>
      <c r="Q2111" t="str">
        <f>""</f>
        <v/>
      </c>
      <c r="R2111" t="s">
        <v>160</v>
      </c>
      <c r="T2111" s="1" t="s">
        <v>161</v>
      </c>
      <c r="U2111">
        <v>9</v>
      </c>
      <c r="V2111" t="s">
        <v>159</v>
      </c>
      <c r="W2111" t="s">
        <v>70</v>
      </c>
      <c r="X2111" t="s">
        <v>162</v>
      </c>
      <c r="Y2111" t="s">
        <v>163</v>
      </c>
    </row>
    <row r="2112" spans="1:25">
      <c r="A2112">
        <v>13532</v>
      </c>
      <c r="B2112" t="s">
        <v>25</v>
      </c>
      <c r="C2112" t="str">
        <f t="shared" si="66"/>
        <v>INTEGRA Hatchback</v>
      </c>
      <c r="D2112" t="str">
        <f t="shared" si="67"/>
        <v>1.5</v>
      </c>
      <c r="E2112" t="s">
        <v>1760</v>
      </c>
      <c r="F2112">
        <v>198501</v>
      </c>
      <c r="G2112">
        <v>199012</v>
      </c>
      <c r="H2112">
        <v>63</v>
      </c>
      <c r="I2112">
        <v>85</v>
      </c>
      <c r="J2112">
        <v>1488</v>
      </c>
      <c r="K2112">
        <v>713409</v>
      </c>
      <c r="L2112" t="s">
        <v>83</v>
      </c>
      <c r="M2112" t="str">
        <f>"CFF100586"</f>
        <v>CFF100586</v>
      </c>
      <c r="N2112" t="str">
        <f>"CFF100586"</f>
        <v>CFF100586</v>
      </c>
      <c r="O2112" t="str">
        <f>"CFF100586"</f>
        <v>CFF100586</v>
      </c>
      <c r="P2112" t="s">
        <v>159</v>
      </c>
      <c r="Q2112" t="str">
        <f>"4044197776733"</f>
        <v>4044197776733</v>
      </c>
      <c r="R2112" t="s">
        <v>160</v>
      </c>
      <c r="T2112" s="1" t="s">
        <v>164</v>
      </c>
      <c r="U2112">
        <v>9</v>
      </c>
      <c r="V2112" t="s">
        <v>159</v>
      </c>
      <c r="W2112" t="s">
        <v>70</v>
      </c>
      <c r="X2112" t="s">
        <v>162</v>
      </c>
      <c r="Y2112" t="s">
        <v>163</v>
      </c>
    </row>
    <row r="2113" spans="1:25">
      <c r="A2113">
        <v>13532</v>
      </c>
      <c r="B2113" t="s">
        <v>25</v>
      </c>
      <c r="C2113" t="str">
        <f t="shared" si="66"/>
        <v>INTEGRA Hatchback</v>
      </c>
      <c r="D2113" t="str">
        <f t="shared" si="67"/>
        <v>1.5</v>
      </c>
      <c r="E2113" t="s">
        <v>1760</v>
      </c>
      <c r="F2113">
        <v>198501</v>
      </c>
      <c r="G2113">
        <v>199012</v>
      </c>
      <c r="H2113">
        <v>63</v>
      </c>
      <c r="I2113">
        <v>85</v>
      </c>
      <c r="J2113">
        <v>1488</v>
      </c>
      <c r="K2113">
        <v>1801398</v>
      </c>
      <c r="L2113" t="s">
        <v>89</v>
      </c>
      <c r="M2113" t="str">
        <f>"G4774"</f>
        <v>G4774</v>
      </c>
      <c r="N2113" t="str">
        <f>"G4774"</f>
        <v>G4774</v>
      </c>
      <c r="O2113" t="str">
        <f>""</f>
        <v/>
      </c>
      <c r="P2113" t="s">
        <v>159</v>
      </c>
      <c r="Q2113" t="str">
        <f>"5022650201977"</f>
        <v>5022650201977</v>
      </c>
      <c r="R2113" t="s">
        <v>165</v>
      </c>
      <c r="T2113" s="1" t="s">
        <v>166</v>
      </c>
      <c r="U2113">
        <v>9</v>
      </c>
      <c r="V2113" t="s">
        <v>159</v>
      </c>
      <c r="W2113" t="s">
        <v>70</v>
      </c>
      <c r="X2113" t="s">
        <v>162</v>
      </c>
      <c r="Y2113" t="s">
        <v>163</v>
      </c>
    </row>
    <row r="2114" spans="1:25">
      <c r="A2114">
        <v>13532</v>
      </c>
      <c r="B2114" t="s">
        <v>25</v>
      </c>
      <c r="C2114" t="str">
        <f t="shared" si="66"/>
        <v>INTEGRA Hatchback</v>
      </c>
      <c r="D2114" t="str">
        <f t="shared" si="67"/>
        <v>1.5</v>
      </c>
      <c r="E2114" t="s">
        <v>1760</v>
      </c>
      <c r="F2114">
        <v>198501</v>
      </c>
      <c r="G2114">
        <v>199012</v>
      </c>
      <c r="H2114">
        <v>63</v>
      </c>
      <c r="I2114">
        <v>85</v>
      </c>
      <c r="J2114">
        <v>1488</v>
      </c>
      <c r="K2114">
        <v>3026968</v>
      </c>
      <c r="L2114" t="s">
        <v>33</v>
      </c>
      <c r="M2114" t="str">
        <f>"J1334005"</f>
        <v>J1334005</v>
      </c>
      <c r="N2114" t="str">
        <f>"J1334005"</f>
        <v>J1334005</v>
      </c>
      <c r="O2114" t="str">
        <f>""</f>
        <v/>
      </c>
      <c r="P2114" t="s">
        <v>159</v>
      </c>
      <c r="Q2114" t="str">
        <f>"8711768035877"</f>
        <v>8711768035877</v>
      </c>
      <c r="R2114" t="s">
        <v>167</v>
      </c>
      <c r="T2114" s="1" t="s">
        <v>168</v>
      </c>
      <c r="U2114">
        <v>9</v>
      </c>
      <c r="V2114" t="s">
        <v>159</v>
      </c>
      <c r="W2114" t="s">
        <v>70</v>
      </c>
      <c r="X2114" t="s">
        <v>162</v>
      </c>
      <c r="Y2114" t="s">
        <v>163</v>
      </c>
    </row>
    <row r="2115" spans="1:25">
      <c r="A2115">
        <v>13532</v>
      </c>
      <c r="B2115" t="s">
        <v>25</v>
      </c>
      <c r="C2115" t="str">
        <f t="shared" si="66"/>
        <v>INTEGRA Hatchback</v>
      </c>
      <c r="D2115" t="str">
        <f t="shared" si="67"/>
        <v>1.5</v>
      </c>
      <c r="E2115" t="s">
        <v>1760</v>
      </c>
      <c r="F2115">
        <v>198501</v>
      </c>
      <c r="G2115">
        <v>199012</v>
      </c>
      <c r="H2115">
        <v>63</v>
      </c>
      <c r="I2115">
        <v>85</v>
      </c>
      <c r="J2115">
        <v>1488</v>
      </c>
      <c r="K2115">
        <v>3284788</v>
      </c>
      <c r="L2115" t="s">
        <v>117</v>
      </c>
      <c r="M2115" t="str">
        <f>"BF1017"</f>
        <v>BF1017</v>
      </c>
      <c r="N2115" t="str">
        <f>"BF-1017"</f>
        <v>BF-1017</v>
      </c>
      <c r="O2115" t="str">
        <f>""</f>
        <v/>
      </c>
      <c r="P2115" t="s">
        <v>159</v>
      </c>
      <c r="Q2115" t="str">
        <f>"8430298801706"</f>
        <v>8430298801706</v>
      </c>
      <c r="U2115">
        <v>9</v>
      </c>
      <c r="V2115" t="s">
        <v>159</v>
      </c>
      <c r="W2115" t="s">
        <v>70</v>
      </c>
      <c r="X2115" t="s">
        <v>162</v>
      </c>
      <c r="Y2115" t="s">
        <v>163</v>
      </c>
    </row>
    <row r="2116" spans="1:25">
      <c r="A2116">
        <v>13532</v>
      </c>
      <c r="B2116" t="s">
        <v>25</v>
      </c>
      <c r="C2116" t="str">
        <f t="shared" si="66"/>
        <v>INTEGRA Hatchback</v>
      </c>
      <c r="D2116" t="str">
        <f t="shared" si="67"/>
        <v>1.5</v>
      </c>
      <c r="E2116" t="s">
        <v>1760</v>
      </c>
      <c r="F2116">
        <v>198501</v>
      </c>
      <c r="G2116">
        <v>199012</v>
      </c>
      <c r="H2116">
        <v>63</v>
      </c>
      <c r="I2116">
        <v>85</v>
      </c>
      <c r="J2116">
        <v>1488</v>
      </c>
      <c r="K2116">
        <v>3963878</v>
      </c>
      <c r="L2116" t="s">
        <v>27</v>
      </c>
      <c r="M2116" t="str">
        <f>"H09501"</f>
        <v>H09501</v>
      </c>
      <c r="N2116" t="str">
        <f>"H095-01"</f>
        <v>H095-01</v>
      </c>
      <c r="O2116" t="str">
        <f>""</f>
        <v/>
      </c>
      <c r="P2116" t="s">
        <v>159</v>
      </c>
      <c r="Q2116" t="str">
        <f>"8718993209325"</f>
        <v>8718993209325</v>
      </c>
      <c r="R2116" t="s">
        <v>169</v>
      </c>
      <c r="T2116" s="1" t="s">
        <v>170</v>
      </c>
      <c r="U2116">
        <v>9</v>
      </c>
      <c r="V2116" t="s">
        <v>159</v>
      </c>
      <c r="W2116" t="s">
        <v>70</v>
      </c>
      <c r="X2116" t="s">
        <v>162</v>
      </c>
      <c r="Y2116" t="s">
        <v>163</v>
      </c>
    </row>
    <row r="2117" spans="1:25">
      <c r="A2117">
        <v>13532</v>
      </c>
      <c r="B2117" t="s">
        <v>25</v>
      </c>
      <c r="C2117" t="str">
        <f t="shared" si="66"/>
        <v>INTEGRA Hatchback</v>
      </c>
      <c r="D2117" t="str">
        <f t="shared" si="67"/>
        <v>1.5</v>
      </c>
      <c r="E2117" t="s">
        <v>1760</v>
      </c>
      <c r="F2117">
        <v>198501</v>
      </c>
      <c r="G2117">
        <v>199012</v>
      </c>
      <c r="H2117">
        <v>63</v>
      </c>
      <c r="I2117">
        <v>85</v>
      </c>
      <c r="J2117">
        <v>1488</v>
      </c>
      <c r="K2117">
        <v>3963879</v>
      </c>
      <c r="L2117" t="s">
        <v>27</v>
      </c>
      <c r="M2117" t="str">
        <f>"H09503"</f>
        <v>H09503</v>
      </c>
      <c r="N2117" t="str">
        <f>"H095-03"</f>
        <v>H095-03</v>
      </c>
      <c r="O2117" t="str">
        <f>""</f>
        <v/>
      </c>
      <c r="P2117" t="s">
        <v>159</v>
      </c>
      <c r="Q2117" t="str">
        <f>"8718993209332"</f>
        <v>8718993209332</v>
      </c>
      <c r="R2117" t="s">
        <v>171</v>
      </c>
      <c r="T2117" t="s">
        <v>172</v>
      </c>
      <c r="U2117">
        <v>9</v>
      </c>
      <c r="V2117" t="s">
        <v>159</v>
      </c>
      <c r="W2117" t="s">
        <v>70</v>
      </c>
      <c r="X2117" t="s">
        <v>162</v>
      </c>
      <c r="Y2117" t="s">
        <v>163</v>
      </c>
    </row>
    <row r="2118" spans="1:25">
      <c r="A2118">
        <v>13532</v>
      </c>
      <c r="B2118" t="s">
        <v>25</v>
      </c>
      <c r="C2118" t="str">
        <f t="shared" ref="C2118:C2181" si="68">"INTEGRA Hatchback"</f>
        <v>INTEGRA Hatchback</v>
      </c>
      <c r="D2118" t="str">
        <f t="shared" ref="D2118:D2181" si="69">"1.5"</f>
        <v>1.5</v>
      </c>
      <c r="E2118" t="s">
        <v>1760</v>
      </c>
      <c r="F2118">
        <v>198501</v>
      </c>
      <c r="G2118">
        <v>199012</v>
      </c>
      <c r="H2118">
        <v>63</v>
      </c>
      <c r="I2118">
        <v>85</v>
      </c>
      <c r="J2118">
        <v>1488</v>
      </c>
      <c r="K2118">
        <v>125740</v>
      </c>
      <c r="L2118" t="s">
        <v>173</v>
      </c>
      <c r="M2118" t="str">
        <f>"6215MC"</f>
        <v>6215MC</v>
      </c>
      <c r="N2118" t="str">
        <f>"6215MC"</f>
        <v>6215MC</v>
      </c>
      <c r="O2118" t="str">
        <f>""</f>
        <v/>
      </c>
      <c r="P2118" t="s">
        <v>174</v>
      </c>
      <c r="Q2118" t="str">
        <f>"5412571000450"</f>
        <v>5412571000450</v>
      </c>
      <c r="S2118" t="s">
        <v>184</v>
      </c>
      <c r="T2118" s="1" t="s">
        <v>1768</v>
      </c>
      <c r="U2118">
        <v>10</v>
      </c>
      <c r="V2118" t="s">
        <v>174</v>
      </c>
      <c r="W2118" t="s">
        <v>177</v>
      </c>
      <c r="X2118" t="s">
        <v>178</v>
      </c>
      <c r="Y2118" t="s">
        <v>174</v>
      </c>
    </row>
    <row r="2119" spans="1:25">
      <c r="A2119">
        <v>13532</v>
      </c>
      <c r="B2119" t="s">
        <v>25</v>
      </c>
      <c r="C2119" t="str">
        <f t="shared" si="68"/>
        <v>INTEGRA Hatchback</v>
      </c>
      <c r="D2119" t="str">
        <f t="shared" si="69"/>
        <v>1.5</v>
      </c>
      <c r="E2119" t="s">
        <v>1760</v>
      </c>
      <c r="F2119">
        <v>198501</v>
      </c>
      <c r="G2119">
        <v>199012</v>
      </c>
      <c r="H2119">
        <v>63</v>
      </c>
      <c r="I2119">
        <v>85</v>
      </c>
      <c r="J2119">
        <v>1488</v>
      </c>
      <c r="K2119">
        <v>127133</v>
      </c>
      <c r="L2119" t="s">
        <v>173</v>
      </c>
      <c r="M2119" t="str">
        <f>"6463MC"</f>
        <v>6463MC</v>
      </c>
      <c r="N2119" t="str">
        <f>"6463MC"</f>
        <v>6463MC</v>
      </c>
      <c r="O2119" t="str">
        <f>""</f>
        <v/>
      </c>
      <c r="P2119" t="s">
        <v>174</v>
      </c>
      <c r="Q2119" t="str">
        <f>"5412571000955"</f>
        <v>5412571000955</v>
      </c>
      <c r="S2119" t="s">
        <v>175</v>
      </c>
      <c r="T2119" s="1" t="s">
        <v>1769</v>
      </c>
      <c r="U2119">
        <v>10</v>
      </c>
      <c r="V2119" t="s">
        <v>174</v>
      </c>
      <c r="W2119" t="s">
        <v>177</v>
      </c>
      <c r="X2119" t="s">
        <v>178</v>
      </c>
      <c r="Y2119" t="s">
        <v>174</v>
      </c>
    </row>
    <row r="2120" spans="1:25">
      <c r="A2120">
        <v>13532</v>
      </c>
      <c r="B2120" t="s">
        <v>25</v>
      </c>
      <c r="C2120" t="str">
        <f t="shared" si="68"/>
        <v>INTEGRA Hatchback</v>
      </c>
      <c r="D2120" t="str">
        <f t="shared" si="69"/>
        <v>1.5</v>
      </c>
      <c r="E2120" t="s">
        <v>1760</v>
      </c>
      <c r="F2120">
        <v>198501</v>
      </c>
      <c r="G2120">
        <v>199012</v>
      </c>
      <c r="H2120">
        <v>63</v>
      </c>
      <c r="I2120">
        <v>85</v>
      </c>
      <c r="J2120">
        <v>1488</v>
      </c>
      <c r="K2120">
        <v>284374</v>
      </c>
      <c r="L2120" t="s">
        <v>144</v>
      </c>
      <c r="M2120" t="str">
        <f>"100825"</f>
        <v>100825</v>
      </c>
      <c r="N2120" t="str">
        <f>"100825"</f>
        <v>100825</v>
      </c>
      <c r="O2120" t="str">
        <f>""</f>
        <v/>
      </c>
      <c r="P2120" t="s">
        <v>174</v>
      </c>
      <c r="Q2120" t="str">
        <f>"4043605430298"</f>
        <v>4043605430298</v>
      </c>
      <c r="R2120" t="s">
        <v>179</v>
      </c>
      <c r="S2120" t="s">
        <v>175</v>
      </c>
      <c r="T2120" s="1" t="s">
        <v>180</v>
      </c>
      <c r="U2120">
        <v>10</v>
      </c>
      <c r="V2120" t="s">
        <v>174</v>
      </c>
      <c r="W2120" t="s">
        <v>177</v>
      </c>
      <c r="X2120" t="s">
        <v>178</v>
      </c>
      <c r="Y2120" t="s">
        <v>174</v>
      </c>
    </row>
    <row r="2121" spans="1:25">
      <c r="A2121">
        <v>13532</v>
      </c>
      <c r="B2121" t="s">
        <v>25</v>
      </c>
      <c r="C2121" t="str">
        <f t="shared" si="68"/>
        <v>INTEGRA Hatchback</v>
      </c>
      <c r="D2121" t="str">
        <f t="shared" si="69"/>
        <v>1.5</v>
      </c>
      <c r="E2121" t="s">
        <v>1760</v>
      </c>
      <c r="F2121">
        <v>198501</v>
      </c>
      <c r="G2121">
        <v>199012</v>
      </c>
      <c r="H2121">
        <v>63</v>
      </c>
      <c r="I2121">
        <v>85</v>
      </c>
      <c r="J2121">
        <v>1488</v>
      </c>
      <c r="K2121">
        <v>2231152</v>
      </c>
      <c r="L2121" t="s">
        <v>181</v>
      </c>
      <c r="M2121" t="str">
        <f>"8640100875"</f>
        <v>8640100875</v>
      </c>
      <c r="N2121" t="str">
        <f>"8640 100875"</f>
        <v>8640 100875</v>
      </c>
      <c r="O2121" t="str">
        <f>""</f>
        <v/>
      </c>
      <c r="P2121" t="s">
        <v>174</v>
      </c>
      <c r="Q2121" t="str">
        <f>"5709147080658"</f>
        <v>5709147080658</v>
      </c>
      <c r="S2121" t="s">
        <v>184</v>
      </c>
      <c r="T2121" s="1" t="s">
        <v>1770</v>
      </c>
      <c r="U2121">
        <v>10</v>
      </c>
      <c r="V2121" t="s">
        <v>174</v>
      </c>
      <c r="W2121" t="s">
        <v>177</v>
      </c>
      <c r="X2121" t="s">
        <v>178</v>
      </c>
      <c r="Y2121" t="s">
        <v>174</v>
      </c>
    </row>
    <row r="2122" spans="1:25">
      <c r="A2122">
        <v>13532</v>
      </c>
      <c r="B2122" t="s">
        <v>25</v>
      </c>
      <c r="C2122" t="str">
        <f t="shared" si="68"/>
        <v>INTEGRA Hatchback</v>
      </c>
      <c r="D2122" t="str">
        <f t="shared" si="69"/>
        <v>1.5</v>
      </c>
      <c r="E2122" t="s">
        <v>1760</v>
      </c>
      <c r="F2122">
        <v>198501</v>
      </c>
      <c r="G2122">
        <v>199012</v>
      </c>
      <c r="H2122">
        <v>63</v>
      </c>
      <c r="I2122">
        <v>85</v>
      </c>
      <c r="J2122">
        <v>1488</v>
      </c>
      <c r="K2122">
        <v>2231214</v>
      </c>
      <c r="L2122" t="s">
        <v>181</v>
      </c>
      <c r="M2122" t="str">
        <f>"8640130825"</f>
        <v>8640130825</v>
      </c>
      <c r="N2122" t="str">
        <f>"8640 130825"</f>
        <v>8640 130825</v>
      </c>
      <c r="O2122" t="str">
        <f>""</f>
        <v/>
      </c>
      <c r="P2122" t="s">
        <v>174</v>
      </c>
      <c r="Q2122" t="str">
        <f>"5709147081310"</f>
        <v>5709147081310</v>
      </c>
      <c r="S2122" t="s">
        <v>175</v>
      </c>
      <c r="T2122" s="1" t="s">
        <v>1771</v>
      </c>
      <c r="U2122">
        <v>10</v>
      </c>
      <c r="V2122" t="s">
        <v>174</v>
      </c>
      <c r="W2122" t="s">
        <v>177</v>
      </c>
      <c r="X2122" t="s">
        <v>178</v>
      </c>
      <c r="Y2122" t="s">
        <v>174</v>
      </c>
    </row>
    <row r="2123" spans="1:25">
      <c r="A2123">
        <v>13532</v>
      </c>
      <c r="B2123" t="s">
        <v>25</v>
      </c>
      <c r="C2123" t="str">
        <f t="shared" si="68"/>
        <v>INTEGRA Hatchback</v>
      </c>
      <c r="D2123" t="str">
        <f t="shared" si="69"/>
        <v>1.5</v>
      </c>
      <c r="E2123" t="s">
        <v>1760</v>
      </c>
      <c r="F2123">
        <v>198501</v>
      </c>
      <c r="G2123">
        <v>199012</v>
      </c>
      <c r="H2123">
        <v>63</v>
      </c>
      <c r="I2123">
        <v>85</v>
      </c>
      <c r="J2123">
        <v>1488</v>
      </c>
      <c r="K2123">
        <v>2958798</v>
      </c>
      <c r="L2123" t="s">
        <v>1608</v>
      </c>
      <c r="M2123" t="str">
        <f>"A5352"</f>
        <v>A5352</v>
      </c>
      <c r="N2123" t="str">
        <f>"A5352"</f>
        <v>A5352</v>
      </c>
      <c r="O2123" t="str">
        <f>"0048536"</f>
        <v>0048536</v>
      </c>
      <c r="P2123" t="s">
        <v>174</v>
      </c>
      <c r="Q2123" t="str">
        <f>"4030434010012"</f>
        <v>4030434010012</v>
      </c>
      <c r="S2123" t="s">
        <v>191</v>
      </c>
      <c r="T2123" s="1" t="s">
        <v>1772</v>
      </c>
      <c r="U2123">
        <v>10</v>
      </c>
      <c r="V2123" t="s">
        <v>174</v>
      </c>
      <c r="W2123" t="s">
        <v>177</v>
      </c>
      <c r="X2123" t="s">
        <v>178</v>
      </c>
      <c r="Y2123" t="s">
        <v>174</v>
      </c>
    </row>
    <row r="2124" spans="1:25">
      <c r="A2124">
        <v>13532</v>
      </c>
      <c r="B2124" t="s">
        <v>25</v>
      </c>
      <c r="C2124" t="str">
        <f t="shared" si="68"/>
        <v>INTEGRA Hatchback</v>
      </c>
      <c r="D2124" t="str">
        <f t="shared" si="69"/>
        <v>1.5</v>
      </c>
      <c r="E2124" t="s">
        <v>1760</v>
      </c>
      <c r="F2124">
        <v>198501</v>
      </c>
      <c r="G2124">
        <v>199012</v>
      </c>
      <c r="H2124">
        <v>63</v>
      </c>
      <c r="I2124">
        <v>85</v>
      </c>
      <c r="J2124">
        <v>1488</v>
      </c>
      <c r="K2124">
        <v>3025092</v>
      </c>
      <c r="L2124" t="s">
        <v>33</v>
      </c>
      <c r="M2124" t="str">
        <f>"J1100875"</f>
        <v>J1100875</v>
      </c>
      <c r="N2124" t="str">
        <f>"J1100875"</f>
        <v>J1100875</v>
      </c>
      <c r="O2124" t="str">
        <f>""</f>
        <v/>
      </c>
      <c r="P2124" t="s">
        <v>174</v>
      </c>
      <c r="Q2124" t="str">
        <f>"8711768023492"</f>
        <v>8711768023492</v>
      </c>
      <c r="R2124" t="s">
        <v>183</v>
      </c>
      <c r="S2124" t="s">
        <v>184</v>
      </c>
      <c r="T2124" s="1" t="s">
        <v>185</v>
      </c>
      <c r="U2124">
        <v>10</v>
      </c>
      <c r="V2124" t="s">
        <v>174</v>
      </c>
      <c r="W2124" t="s">
        <v>177</v>
      </c>
      <c r="X2124" t="s">
        <v>178</v>
      </c>
      <c r="Y2124" t="s">
        <v>174</v>
      </c>
    </row>
    <row r="2125" spans="1:25">
      <c r="A2125">
        <v>13532</v>
      </c>
      <c r="B2125" t="s">
        <v>25</v>
      </c>
      <c r="C2125" t="str">
        <f t="shared" si="68"/>
        <v>INTEGRA Hatchback</v>
      </c>
      <c r="D2125" t="str">
        <f t="shared" si="69"/>
        <v>1.5</v>
      </c>
      <c r="E2125" t="s">
        <v>1760</v>
      </c>
      <c r="F2125">
        <v>198501</v>
      </c>
      <c r="G2125">
        <v>199012</v>
      </c>
      <c r="H2125">
        <v>63</v>
      </c>
      <c r="I2125">
        <v>85</v>
      </c>
      <c r="J2125">
        <v>1488</v>
      </c>
      <c r="K2125">
        <v>3025616</v>
      </c>
      <c r="L2125" t="s">
        <v>33</v>
      </c>
      <c r="M2125" t="str">
        <f>"J1130825"</f>
        <v>J1130825</v>
      </c>
      <c r="N2125" t="str">
        <f>"J1130825"</f>
        <v>J1130825</v>
      </c>
      <c r="O2125" t="str">
        <f>""</f>
        <v/>
      </c>
      <c r="P2125" t="s">
        <v>174</v>
      </c>
      <c r="Q2125" t="str">
        <f>"8711768025670"</f>
        <v>8711768025670</v>
      </c>
      <c r="R2125" t="s">
        <v>186</v>
      </c>
      <c r="S2125" t="s">
        <v>175</v>
      </c>
      <c r="T2125" t="s">
        <v>187</v>
      </c>
      <c r="U2125">
        <v>10</v>
      </c>
      <c r="V2125" t="s">
        <v>174</v>
      </c>
      <c r="W2125" t="s">
        <v>177</v>
      </c>
      <c r="X2125" t="s">
        <v>178</v>
      </c>
      <c r="Y2125" t="s">
        <v>174</v>
      </c>
    </row>
    <row r="2126" spans="1:25">
      <c r="A2126">
        <v>13532</v>
      </c>
      <c r="B2126" t="s">
        <v>25</v>
      </c>
      <c r="C2126" t="str">
        <f t="shared" si="68"/>
        <v>INTEGRA Hatchback</v>
      </c>
      <c r="D2126" t="str">
        <f t="shared" si="69"/>
        <v>1.5</v>
      </c>
      <c r="E2126" t="s">
        <v>1760</v>
      </c>
      <c r="F2126">
        <v>198501</v>
      </c>
      <c r="G2126">
        <v>199012</v>
      </c>
      <c r="H2126">
        <v>63</v>
      </c>
      <c r="I2126">
        <v>85</v>
      </c>
      <c r="J2126">
        <v>1488</v>
      </c>
      <c r="K2126">
        <v>3152656</v>
      </c>
      <c r="L2126" t="s">
        <v>1275</v>
      </c>
      <c r="M2126" t="str">
        <f>"1118001600"</f>
        <v>1118001600</v>
      </c>
      <c r="N2126" t="str">
        <f>"1118001600"</f>
        <v>1118001600</v>
      </c>
      <c r="O2126" t="str">
        <f>""</f>
        <v/>
      </c>
      <c r="P2126" t="s">
        <v>174</v>
      </c>
      <c r="Q2126" t="str">
        <f>"5710412073817"</f>
        <v>5710412073817</v>
      </c>
      <c r="R2126" t="s">
        <v>1773</v>
      </c>
      <c r="S2126" t="s">
        <v>1278</v>
      </c>
      <c r="T2126" s="1" t="s">
        <v>1774</v>
      </c>
      <c r="U2126">
        <v>10</v>
      </c>
      <c r="V2126" t="s">
        <v>174</v>
      </c>
      <c r="W2126" t="s">
        <v>177</v>
      </c>
      <c r="X2126" t="s">
        <v>178</v>
      </c>
      <c r="Y2126" t="s">
        <v>174</v>
      </c>
    </row>
    <row r="2127" spans="1:25">
      <c r="A2127">
        <v>13532</v>
      </c>
      <c r="B2127" t="s">
        <v>25</v>
      </c>
      <c r="C2127" t="str">
        <f t="shared" si="68"/>
        <v>INTEGRA Hatchback</v>
      </c>
      <c r="D2127" t="str">
        <f t="shared" si="69"/>
        <v>1.5</v>
      </c>
      <c r="E2127" t="s">
        <v>1760</v>
      </c>
      <c r="F2127">
        <v>198501</v>
      </c>
      <c r="G2127">
        <v>199012</v>
      </c>
      <c r="H2127">
        <v>63</v>
      </c>
      <c r="I2127">
        <v>85</v>
      </c>
      <c r="J2127">
        <v>1488</v>
      </c>
      <c r="K2127">
        <v>3152657</v>
      </c>
      <c r="L2127" t="s">
        <v>1275</v>
      </c>
      <c r="M2127" t="str">
        <f>"1118001609"</f>
        <v>1118001609</v>
      </c>
      <c r="N2127" t="str">
        <f>"1118001609"</f>
        <v>1118001609</v>
      </c>
      <c r="O2127" t="str">
        <f>""</f>
        <v/>
      </c>
      <c r="P2127" t="s">
        <v>174</v>
      </c>
      <c r="Q2127" t="str">
        <f>"5710412271749"</f>
        <v>5710412271749</v>
      </c>
      <c r="R2127" t="s">
        <v>1773</v>
      </c>
      <c r="S2127" t="s">
        <v>1278</v>
      </c>
      <c r="T2127" s="1" t="s">
        <v>1775</v>
      </c>
      <c r="U2127">
        <v>10</v>
      </c>
      <c r="V2127" t="s">
        <v>174</v>
      </c>
      <c r="W2127" t="s">
        <v>177</v>
      </c>
      <c r="X2127" t="s">
        <v>178</v>
      </c>
      <c r="Y2127" t="s">
        <v>174</v>
      </c>
    </row>
    <row r="2128" spans="1:25">
      <c r="A2128">
        <v>13532</v>
      </c>
      <c r="B2128" t="s">
        <v>25</v>
      </c>
      <c r="C2128" t="str">
        <f t="shared" si="68"/>
        <v>INTEGRA Hatchback</v>
      </c>
      <c r="D2128" t="str">
        <f t="shared" si="69"/>
        <v>1.5</v>
      </c>
      <c r="E2128" t="s">
        <v>1760</v>
      </c>
      <c r="F2128">
        <v>198501</v>
      </c>
      <c r="G2128">
        <v>199012</v>
      </c>
      <c r="H2128">
        <v>63</v>
      </c>
      <c r="I2128">
        <v>85</v>
      </c>
      <c r="J2128">
        <v>1488</v>
      </c>
      <c r="K2128">
        <v>3162032</v>
      </c>
      <c r="L2128" t="s">
        <v>1275</v>
      </c>
      <c r="M2128" t="str">
        <f>"1318000409"</f>
        <v>1318000409</v>
      </c>
      <c r="N2128" t="str">
        <f>"1318000409"</f>
        <v>1318000409</v>
      </c>
      <c r="O2128" t="str">
        <f>""</f>
        <v/>
      </c>
      <c r="P2128" t="s">
        <v>174</v>
      </c>
      <c r="Q2128" t="str">
        <f>"5710412300050"</f>
        <v>5710412300050</v>
      </c>
      <c r="R2128" t="s">
        <v>1776</v>
      </c>
      <c r="S2128" t="s">
        <v>175</v>
      </c>
      <c r="T2128" s="1" t="s">
        <v>1777</v>
      </c>
      <c r="U2128">
        <v>10</v>
      </c>
      <c r="V2128" t="s">
        <v>174</v>
      </c>
      <c r="W2128" t="s">
        <v>177</v>
      </c>
      <c r="X2128" t="s">
        <v>178</v>
      </c>
      <c r="Y2128" t="s">
        <v>174</v>
      </c>
    </row>
    <row r="2129" spans="1:25">
      <c r="A2129">
        <v>13532</v>
      </c>
      <c r="B2129" t="s">
        <v>25</v>
      </c>
      <c r="C2129" t="str">
        <f t="shared" si="68"/>
        <v>INTEGRA Hatchback</v>
      </c>
      <c r="D2129" t="str">
        <f t="shared" si="69"/>
        <v>1.5</v>
      </c>
      <c r="E2129" t="s">
        <v>1760</v>
      </c>
      <c r="F2129">
        <v>198501</v>
      </c>
      <c r="G2129">
        <v>199012</v>
      </c>
      <c r="H2129">
        <v>63</v>
      </c>
      <c r="I2129">
        <v>85</v>
      </c>
      <c r="J2129">
        <v>1488</v>
      </c>
      <c r="K2129">
        <v>3975222</v>
      </c>
      <c r="L2129" t="s">
        <v>27</v>
      </c>
      <c r="M2129" t="str">
        <f>"V100875"</f>
        <v>V100875</v>
      </c>
      <c r="N2129" t="str">
        <f>"V10-0875"</f>
        <v>V10-0875</v>
      </c>
      <c r="O2129" t="str">
        <f>""</f>
        <v/>
      </c>
      <c r="P2129" t="s">
        <v>174</v>
      </c>
      <c r="Q2129" t="str">
        <f>"8718993417782"</f>
        <v>8718993417782</v>
      </c>
      <c r="R2129" t="s">
        <v>183</v>
      </c>
      <c r="S2129" t="s">
        <v>184</v>
      </c>
      <c r="T2129" s="1" t="s">
        <v>188</v>
      </c>
      <c r="U2129">
        <v>10</v>
      </c>
      <c r="V2129" t="s">
        <v>174</v>
      </c>
      <c r="W2129" t="s">
        <v>177</v>
      </c>
      <c r="X2129" t="s">
        <v>178</v>
      </c>
      <c r="Y2129" t="s">
        <v>174</v>
      </c>
    </row>
    <row r="2130" spans="1:25">
      <c r="A2130">
        <v>13532</v>
      </c>
      <c r="B2130" t="s">
        <v>25</v>
      </c>
      <c r="C2130" t="str">
        <f t="shared" si="68"/>
        <v>INTEGRA Hatchback</v>
      </c>
      <c r="D2130" t="str">
        <f t="shared" si="69"/>
        <v>1.5</v>
      </c>
      <c r="E2130" t="s">
        <v>1760</v>
      </c>
      <c r="F2130">
        <v>198501</v>
      </c>
      <c r="G2130">
        <v>199012</v>
      </c>
      <c r="H2130">
        <v>63</v>
      </c>
      <c r="I2130">
        <v>85</v>
      </c>
      <c r="J2130">
        <v>1488</v>
      </c>
      <c r="K2130">
        <v>3975248</v>
      </c>
      <c r="L2130" t="s">
        <v>27</v>
      </c>
      <c r="M2130" t="str">
        <f>"V130825"</f>
        <v>V130825</v>
      </c>
      <c r="N2130" t="str">
        <f>"V13-0825"</f>
        <v>V13-0825</v>
      </c>
      <c r="O2130" t="str">
        <f>""</f>
        <v/>
      </c>
      <c r="P2130" t="s">
        <v>174</v>
      </c>
      <c r="Q2130" t="str">
        <f>"8718993418192"</f>
        <v>8718993418192</v>
      </c>
      <c r="R2130" t="s">
        <v>186</v>
      </c>
      <c r="S2130" t="s">
        <v>175</v>
      </c>
      <c r="T2130" s="1" t="s">
        <v>189</v>
      </c>
      <c r="U2130">
        <v>10</v>
      </c>
      <c r="V2130" t="s">
        <v>174</v>
      </c>
      <c r="W2130" t="s">
        <v>177</v>
      </c>
      <c r="X2130" t="s">
        <v>178</v>
      </c>
      <c r="Y2130" t="s">
        <v>174</v>
      </c>
    </row>
    <row r="2131" spans="1:25">
      <c r="A2131">
        <v>13532</v>
      </c>
      <c r="B2131" t="s">
        <v>25</v>
      </c>
      <c r="C2131" t="str">
        <f t="shared" si="68"/>
        <v>INTEGRA Hatchback</v>
      </c>
      <c r="D2131" t="str">
        <f t="shared" si="69"/>
        <v>1.5</v>
      </c>
      <c r="E2131" t="s">
        <v>1760</v>
      </c>
      <c r="F2131">
        <v>198501</v>
      </c>
      <c r="G2131">
        <v>199012</v>
      </c>
      <c r="H2131">
        <v>63</v>
      </c>
      <c r="I2131">
        <v>85</v>
      </c>
      <c r="J2131">
        <v>1488</v>
      </c>
      <c r="K2131">
        <v>4277001</v>
      </c>
      <c r="L2131" t="s">
        <v>129</v>
      </c>
      <c r="M2131" t="str">
        <f>"10KSM875"</f>
        <v>10KSM875</v>
      </c>
      <c r="N2131" t="str">
        <f>"10KSM875"</f>
        <v>10KSM875</v>
      </c>
      <c r="O2131" t="str">
        <f>""</f>
        <v/>
      </c>
      <c r="P2131" t="s">
        <v>174</v>
      </c>
      <c r="Q2131" t="str">
        <f>"8421779544878"</f>
        <v>8421779544878</v>
      </c>
      <c r="R2131" t="s">
        <v>1778</v>
      </c>
      <c r="S2131" t="s">
        <v>1278</v>
      </c>
      <c r="T2131" s="1" t="s">
        <v>1779</v>
      </c>
      <c r="U2131">
        <v>10</v>
      </c>
      <c r="V2131" t="s">
        <v>174</v>
      </c>
      <c r="W2131" t="s">
        <v>177</v>
      </c>
      <c r="X2131" t="s">
        <v>178</v>
      </c>
      <c r="Y2131" t="s">
        <v>174</v>
      </c>
    </row>
    <row r="2132" spans="1:25">
      <c r="A2132">
        <v>13532</v>
      </c>
      <c r="B2132" t="s">
        <v>25</v>
      </c>
      <c r="C2132" t="str">
        <f t="shared" si="68"/>
        <v>INTEGRA Hatchback</v>
      </c>
      <c r="D2132" t="str">
        <f t="shared" si="69"/>
        <v>1.5</v>
      </c>
      <c r="E2132" t="s">
        <v>1760</v>
      </c>
      <c r="F2132">
        <v>198501</v>
      </c>
      <c r="G2132">
        <v>199012</v>
      </c>
      <c r="H2132">
        <v>63</v>
      </c>
      <c r="I2132">
        <v>85</v>
      </c>
      <c r="J2132">
        <v>1488</v>
      </c>
      <c r="K2132">
        <v>4415387</v>
      </c>
      <c r="L2132" t="s">
        <v>193</v>
      </c>
      <c r="M2132" t="str">
        <f>"10X875LX"</f>
        <v>10X875LX</v>
      </c>
      <c r="N2132" t="str">
        <f>"10X875LX"</f>
        <v>10X875LX</v>
      </c>
      <c r="O2132" t="str">
        <f>""</f>
        <v/>
      </c>
      <c r="P2132" t="s">
        <v>174</v>
      </c>
      <c r="Q2132" t="str">
        <f>"4905601000168"</f>
        <v>4905601000168</v>
      </c>
      <c r="R2132" t="s">
        <v>1773</v>
      </c>
      <c r="S2132" t="s">
        <v>1278</v>
      </c>
      <c r="T2132" s="1" t="s">
        <v>1780</v>
      </c>
      <c r="U2132">
        <v>10</v>
      </c>
      <c r="V2132" t="s">
        <v>174</v>
      </c>
      <c r="W2132" t="s">
        <v>177</v>
      </c>
      <c r="X2132" t="s">
        <v>178</v>
      </c>
      <c r="Y2132" t="s">
        <v>174</v>
      </c>
    </row>
    <row r="2133" spans="1:25">
      <c r="A2133">
        <v>13532</v>
      </c>
      <c r="B2133" t="s">
        <v>25</v>
      </c>
      <c r="C2133" t="str">
        <f t="shared" si="68"/>
        <v>INTEGRA Hatchback</v>
      </c>
      <c r="D2133" t="str">
        <f t="shared" si="69"/>
        <v>1.5</v>
      </c>
      <c r="E2133" t="s">
        <v>1760</v>
      </c>
      <c r="F2133">
        <v>198501</v>
      </c>
      <c r="G2133">
        <v>199012</v>
      </c>
      <c r="H2133">
        <v>63</v>
      </c>
      <c r="I2133">
        <v>85</v>
      </c>
      <c r="J2133">
        <v>1488</v>
      </c>
      <c r="K2133">
        <v>4415519</v>
      </c>
      <c r="L2133" t="s">
        <v>193</v>
      </c>
      <c r="M2133" t="str">
        <f>"13X825LX"</f>
        <v>13X825LX</v>
      </c>
      <c r="N2133" t="str">
        <f>"13X825LX"</f>
        <v>13X825LX</v>
      </c>
      <c r="O2133" t="str">
        <f>""</f>
        <v/>
      </c>
      <c r="P2133" t="s">
        <v>174</v>
      </c>
      <c r="Q2133" t="str">
        <f>"4905601000441"</f>
        <v>4905601000441</v>
      </c>
      <c r="R2133" t="s">
        <v>1781</v>
      </c>
      <c r="S2133" t="s">
        <v>191</v>
      </c>
      <c r="T2133" s="1" t="s">
        <v>1782</v>
      </c>
      <c r="U2133">
        <v>10</v>
      </c>
      <c r="V2133" t="s">
        <v>174</v>
      </c>
      <c r="W2133" t="s">
        <v>177</v>
      </c>
      <c r="X2133" t="s">
        <v>178</v>
      </c>
      <c r="Y2133" t="s">
        <v>174</v>
      </c>
    </row>
    <row r="2134" spans="1:25">
      <c r="A2134">
        <v>13532</v>
      </c>
      <c r="B2134" t="s">
        <v>25</v>
      </c>
      <c r="C2134" t="str">
        <f t="shared" si="68"/>
        <v>INTEGRA Hatchback</v>
      </c>
      <c r="D2134" t="str">
        <f t="shared" si="69"/>
        <v>1.5</v>
      </c>
      <c r="E2134" t="s">
        <v>1760</v>
      </c>
      <c r="F2134">
        <v>198501</v>
      </c>
      <c r="G2134">
        <v>199012</v>
      </c>
      <c r="H2134">
        <v>63</v>
      </c>
      <c r="I2134">
        <v>85</v>
      </c>
      <c r="J2134">
        <v>1488</v>
      </c>
      <c r="K2134">
        <v>700323</v>
      </c>
      <c r="L2134" t="s">
        <v>46</v>
      </c>
      <c r="M2134" t="str">
        <f>"AC3001"</f>
        <v>AC3001</v>
      </c>
      <c r="N2134" t="str">
        <f>"AC3001"</f>
        <v>AC3001</v>
      </c>
      <c r="O2134" t="str">
        <f>""</f>
        <v/>
      </c>
      <c r="P2134" t="s">
        <v>50</v>
      </c>
      <c r="Q2134" t="str">
        <f>""</f>
        <v/>
      </c>
      <c r="U2134">
        <v>13</v>
      </c>
      <c r="V2134" t="s">
        <v>50</v>
      </c>
      <c r="W2134" t="s">
        <v>197</v>
      </c>
      <c r="X2134" t="s">
        <v>49</v>
      </c>
      <c r="Y2134" t="s">
        <v>50</v>
      </c>
    </row>
    <row r="2135" spans="1:25">
      <c r="A2135">
        <v>13532</v>
      </c>
      <c r="B2135" t="s">
        <v>25</v>
      </c>
      <c r="C2135" t="str">
        <f t="shared" si="68"/>
        <v>INTEGRA Hatchback</v>
      </c>
      <c r="D2135" t="str">
        <f t="shared" si="69"/>
        <v>1.5</v>
      </c>
      <c r="E2135" t="s">
        <v>1760</v>
      </c>
      <c r="F2135">
        <v>198501</v>
      </c>
      <c r="G2135">
        <v>199012</v>
      </c>
      <c r="H2135">
        <v>63</v>
      </c>
      <c r="I2135">
        <v>85</v>
      </c>
      <c r="J2135">
        <v>1488</v>
      </c>
      <c r="K2135">
        <v>700324</v>
      </c>
      <c r="L2135" t="s">
        <v>46</v>
      </c>
      <c r="M2135" t="str">
        <f>"AC3002"</f>
        <v>AC3002</v>
      </c>
      <c r="N2135" t="str">
        <f>"AC3002"</f>
        <v>AC3002</v>
      </c>
      <c r="O2135" t="str">
        <f>""</f>
        <v/>
      </c>
      <c r="P2135" t="s">
        <v>50</v>
      </c>
      <c r="Q2135" t="str">
        <f>""</f>
        <v/>
      </c>
      <c r="U2135">
        <v>13</v>
      </c>
      <c r="V2135" t="s">
        <v>50</v>
      </c>
      <c r="W2135" t="s">
        <v>197</v>
      </c>
      <c r="X2135" t="s">
        <v>49</v>
      </c>
      <c r="Y2135" t="s">
        <v>50</v>
      </c>
    </row>
    <row r="2136" spans="1:25">
      <c r="A2136">
        <v>13532</v>
      </c>
      <c r="B2136" t="s">
        <v>25</v>
      </c>
      <c r="C2136" t="str">
        <f t="shared" si="68"/>
        <v>INTEGRA Hatchback</v>
      </c>
      <c r="D2136" t="str">
        <f t="shared" si="69"/>
        <v>1.5</v>
      </c>
      <c r="E2136" t="s">
        <v>1760</v>
      </c>
      <c r="F2136">
        <v>198501</v>
      </c>
      <c r="G2136">
        <v>199012</v>
      </c>
      <c r="H2136">
        <v>63</v>
      </c>
      <c r="I2136">
        <v>85</v>
      </c>
      <c r="J2136">
        <v>1488</v>
      </c>
      <c r="K2136">
        <v>700325</v>
      </c>
      <c r="L2136" t="s">
        <v>46</v>
      </c>
      <c r="M2136" t="str">
        <f>"AC3003"</f>
        <v>AC3003</v>
      </c>
      <c r="N2136" t="str">
        <f>"AC3003"</f>
        <v>AC3003</v>
      </c>
      <c r="O2136" t="str">
        <f>""</f>
        <v/>
      </c>
      <c r="P2136" t="s">
        <v>50</v>
      </c>
      <c r="Q2136" t="str">
        <f>""</f>
        <v/>
      </c>
      <c r="U2136">
        <v>13</v>
      </c>
      <c r="V2136" t="s">
        <v>50</v>
      </c>
      <c r="W2136" t="s">
        <v>197</v>
      </c>
      <c r="X2136" t="s">
        <v>49</v>
      </c>
      <c r="Y2136" t="s">
        <v>50</v>
      </c>
    </row>
    <row r="2137" spans="1:25">
      <c r="A2137">
        <v>13532</v>
      </c>
      <c r="B2137" t="s">
        <v>25</v>
      </c>
      <c r="C2137" t="str">
        <f t="shared" si="68"/>
        <v>INTEGRA Hatchback</v>
      </c>
      <c r="D2137" t="str">
        <f t="shared" si="69"/>
        <v>1.5</v>
      </c>
      <c r="E2137" t="s">
        <v>1760</v>
      </c>
      <c r="F2137">
        <v>198501</v>
      </c>
      <c r="G2137">
        <v>199012</v>
      </c>
      <c r="H2137">
        <v>63</v>
      </c>
      <c r="I2137">
        <v>85</v>
      </c>
      <c r="J2137">
        <v>1488</v>
      </c>
      <c r="K2137">
        <v>700326</v>
      </c>
      <c r="L2137" t="s">
        <v>46</v>
      </c>
      <c r="M2137" t="str">
        <f>"AC3004"</f>
        <v>AC3004</v>
      </c>
      <c r="N2137" t="str">
        <f>"AC3004"</f>
        <v>AC3004</v>
      </c>
      <c r="O2137" t="str">
        <f>""</f>
        <v/>
      </c>
      <c r="P2137" t="s">
        <v>50</v>
      </c>
      <c r="Q2137" t="str">
        <f>""</f>
        <v/>
      </c>
      <c r="U2137">
        <v>13</v>
      </c>
      <c r="V2137" t="s">
        <v>50</v>
      </c>
      <c r="W2137" t="s">
        <v>197</v>
      </c>
      <c r="X2137" t="s">
        <v>49</v>
      </c>
      <c r="Y2137" t="s">
        <v>50</v>
      </c>
    </row>
    <row r="2138" spans="1:25">
      <c r="A2138">
        <v>13532</v>
      </c>
      <c r="B2138" t="s">
        <v>25</v>
      </c>
      <c r="C2138" t="str">
        <f t="shared" si="68"/>
        <v>INTEGRA Hatchback</v>
      </c>
      <c r="D2138" t="str">
        <f t="shared" si="69"/>
        <v>1.5</v>
      </c>
      <c r="E2138" t="s">
        <v>1760</v>
      </c>
      <c r="F2138">
        <v>198501</v>
      </c>
      <c r="G2138">
        <v>199012</v>
      </c>
      <c r="H2138">
        <v>63</v>
      </c>
      <c r="I2138">
        <v>85</v>
      </c>
      <c r="J2138">
        <v>1488</v>
      </c>
      <c r="K2138">
        <v>909887</v>
      </c>
      <c r="L2138" t="s">
        <v>198</v>
      </c>
      <c r="M2138" t="str">
        <f>"DA02002"</f>
        <v>DA02002</v>
      </c>
      <c r="N2138" t="str">
        <f>"DA02002"</f>
        <v>DA02002</v>
      </c>
      <c r="O2138" t="str">
        <f>""</f>
        <v/>
      </c>
      <c r="P2138" t="s">
        <v>50</v>
      </c>
      <c r="Q2138" t="str">
        <f>"5415047056968"</f>
        <v>5415047056968</v>
      </c>
      <c r="U2138">
        <v>13</v>
      </c>
      <c r="V2138" t="s">
        <v>50</v>
      </c>
      <c r="W2138" t="s">
        <v>197</v>
      </c>
      <c r="X2138" t="s">
        <v>49</v>
      </c>
      <c r="Y2138" t="s">
        <v>50</v>
      </c>
    </row>
    <row r="2139" spans="1:25">
      <c r="A2139">
        <v>13532</v>
      </c>
      <c r="B2139" t="s">
        <v>25</v>
      </c>
      <c r="C2139" t="str">
        <f t="shared" si="68"/>
        <v>INTEGRA Hatchback</v>
      </c>
      <c r="D2139" t="str">
        <f t="shared" si="69"/>
        <v>1.5</v>
      </c>
      <c r="E2139" t="s">
        <v>1760</v>
      </c>
      <c r="F2139">
        <v>198501</v>
      </c>
      <c r="G2139">
        <v>199012</v>
      </c>
      <c r="H2139">
        <v>63</v>
      </c>
      <c r="I2139">
        <v>85</v>
      </c>
      <c r="J2139">
        <v>1488</v>
      </c>
      <c r="K2139">
        <v>909888</v>
      </c>
      <c r="L2139" t="s">
        <v>198</v>
      </c>
      <c r="M2139" t="str">
        <f>"DA02004"</f>
        <v>DA02004</v>
      </c>
      <c r="N2139" t="str">
        <f>"DA02004"</f>
        <v>DA02004</v>
      </c>
      <c r="O2139" t="str">
        <f>""</f>
        <v/>
      </c>
      <c r="P2139" t="s">
        <v>50</v>
      </c>
      <c r="Q2139" t="str">
        <f>"5415047056975"</f>
        <v>5415047056975</v>
      </c>
      <c r="U2139">
        <v>13</v>
      </c>
      <c r="V2139" t="s">
        <v>50</v>
      </c>
      <c r="W2139" t="s">
        <v>197</v>
      </c>
      <c r="X2139" t="s">
        <v>49</v>
      </c>
      <c r="Y2139" t="s">
        <v>50</v>
      </c>
    </row>
    <row r="2140" spans="1:25">
      <c r="A2140">
        <v>13532</v>
      </c>
      <c r="B2140" t="s">
        <v>25</v>
      </c>
      <c r="C2140" t="str">
        <f t="shared" si="68"/>
        <v>INTEGRA Hatchback</v>
      </c>
      <c r="D2140" t="str">
        <f t="shared" si="69"/>
        <v>1.5</v>
      </c>
      <c r="E2140" t="s">
        <v>1760</v>
      </c>
      <c r="F2140">
        <v>198501</v>
      </c>
      <c r="G2140">
        <v>199012</v>
      </c>
      <c r="H2140">
        <v>63</v>
      </c>
      <c r="I2140">
        <v>85</v>
      </c>
      <c r="J2140">
        <v>1488</v>
      </c>
      <c r="K2140">
        <v>909889</v>
      </c>
      <c r="L2140" t="s">
        <v>198</v>
      </c>
      <c r="M2140" t="str">
        <f>"DA02006"</f>
        <v>DA02006</v>
      </c>
      <c r="N2140" t="str">
        <f>"DA02006"</f>
        <v>DA02006</v>
      </c>
      <c r="O2140" t="str">
        <f>""</f>
        <v/>
      </c>
      <c r="P2140" t="s">
        <v>50</v>
      </c>
      <c r="Q2140" t="str">
        <f>"5415047056982"</f>
        <v>5415047056982</v>
      </c>
      <c r="U2140">
        <v>13</v>
      </c>
      <c r="V2140" t="s">
        <v>50</v>
      </c>
      <c r="W2140" t="s">
        <v>197</v>
      </c>
      <c r="X2140" t="s">
        <v>49</v>
      </c>
      <c r="Y2140" t="s">
        <v>50</v>
      </c>
    </row>
    <row r="2141" spans="1:25">
      <c r="A2141">
        <v>13532</v>
      </c>
      <c r="B2141" t="s">
        <v>25</v>
      </c>
      <c r="C2141" t="str">
        <f t="shared" si="68"/>
        <v>INTEGRA Hatchback</v>
      </c>
      <c r="D2141" t="str">
        <f t="shared" si="69"/>
        <v>1.5</v>
      </c>
      <c r="E2141" t="s">
        <v>1760</v>
      </c>
      <c r="F2141">
        <v>198501</v>
      </c>
      <c r="G2141">
        <v>199012</v>
      </c>
      <c r="H2141">
        <v>63</v>
      </c>
      <c r="I2141">
        <v>85</v>
      </c>
      <c r="J2141">
        <v>1488</v>
      </c>
      <c r="K2141">
        <v>909890</v>
      </c>
      <c r="L2141" t="s">
        <v>198</v>
      </c>
      <c r="M2141" t="str">
        <f>"DA02008"</f>
        <v>DA02008</v>
      </c>
      <c r="N2141" t="str">
        <f>"DA02008"</f>
        <v>DA02008</v>
      </c>
      <c r="O2141" t="str">
        <f>""</f>
        <v/>
      </c>
      <c r="P2141" t="s">
        <v>50</v>
      </c>
      <c r="Q2141" t="str">
        <f>"5415047056999"</f>
        <v>5415047056999</v>
      </c>
      <c r="U2141">
        <v>13</v>
      </c>
      <c r="V2141" t="s">
        <v>50</v>
      </c>
      <c r="W2141" t="s">
        <v>197</v>
      </c>
      <c r="X2141" t="s">
        <v>49</v>
      </c>
      <c r="Y2141" t="s">
        <v>50</v>
      </c>
    </row>
    <row r="2142" spans="1:25">
      <c r="A2142">
        <v>13532</v>
      </c>
      <c r="B2142" t="s">
        <v>25</v>
      </c>
      <c r="C2142" t="str">
        <f t="shared" si="68"/>
        <v>INTEGRA Hatchback</v>
      </c>
      <c r="D2142" t="str">
        <f t="shared" si="69"/>
        <v>1.5</v>
      </c>
      <c r="E2142" t="s">
        <v>1760</v>
      </c>
      <c r="F2142">
        <v>198501</v>
      </c>
      <c r="G2142">
        <v>199012</v>
      </c>
      <c r="H2142">
        <v>63</v>
      </c>
      <c r="I2142">
        <v>85</v>
      </c>
      <c r="J2142">
        <v>1488</v>
      </c>
      <c r="K2142">
        <v>728727</v>
      </c>
      <c r="L2142" t="s">
        <v>199</v>
      </c>
      <c r="M2142" t="str">
        <f>"989926"</f>
        <v>989926</v>
      </c>
      <c r="N2142" t="str">
        <f>"989926"</f>
        <v>989926</v>
      </c>
      <c r="O2142" t="str">
        <f>""</f>
        <v/>
      </c>
      <c r="P2142" t="s">
        <v>200</v>
      </c>
      <c r="Q2142" t="str">
        <f>"8717012023973"</f>
        <v>8717012023973</v>
      </c>
      <c r="R2142" t="s">
        <v>201</v>
      </c>
      <c r="T2142" t="s">
        <v>202</v>
      </c>
      <c r="U2142">
        <v>48</v>
      </c>
      <c r="V2142" t="s">
        <v>200</v>
      </c>
      <c r="W2142" t="s">
        <v>203</v>
      </c>
      <c r="X2142" t="s">
        <v>204</v>
      </c>
      <c r="Y2142" t="s">
        <v>205</v>
      </c>
    </row>
    <row r="2143" spans="1:25">
      <c r="A2143">
        <v>13532</v>
      </c>
      <c r="B2143" t="s">
        <v>25</v>
      </c>
      <c r="C2143" t="str">
        <f t="shared" si="68"/>
        <v>INTEGRA Hatchback</v>
      </c>
      <c r="D2143" t="str">
        <f t="shared" si="69"/>
        <v>1.5</v>
      </c>
      <c r="E2143" t="s">
        <v>1760</v>
      </c>
      <c r="F2143">
        <v>198501</v>
      </c>
      <c r="G2143">
        <v>199012</v>
      </c>
      <c r="H2143">
        <v>63</v>
      </c>
      <c r="I2143">
        <v>85</v>
      </c>
      <c r="J2143">
        <v>1488</v>
      </c>
      <c r="K2143">
        <v>3032402</v>
      </c>
      <c r="L2143" t="s">
        <v>33</v>
      </c>
      <c r="M2143" t="str">
        <f>"J4844008"</f>
        <v>J4844008</v>
      </c>
      <c r="N2143" t="str">
        <f>"J4844008"</f>
        <v>J4844008</v>
      </c>
      <c r="O2143" t="str">
        <f>""</f>
        <v/>
      </c>
      <c r="P2143" t="s">
        <v>206</v>
      </c>
      <c r="Q2143" t="str">
        <f>"8711768098988"</f>
        <v>8711768098988</v>
      </c>
      <c r="R2143" t="s">
        <v>207</v>
      </c>
      <c r="S2143" t="s">
        <v>208</v>
      </c>
      <c r="T2143" s="1" t="s">
        <v>209</v>
      </c>
      <c r="U2143">
        <v>51</v>
      </c>
      <c r="V2143" t="s">
        <v>206</v>
      </c>
      <c r="W2143" t="s">
        <v>210</v>
      </c>
      <c r="X2143" t="s">
        <v>211</v>
      </c>
      <c r="Y2143" t="s">
        <v>212</v>
      </c>
    </row>
    <row r="2144" spans="1:25">
      <c r="A2144">
        <v>13532</v>
      </c>
      <c r="B2144" t="s">
        <v>25</v>
      </c>
      <c r="C2144" t="str">
        <f t="shared" si="68"/>
        <v>INTEGRA Hatchback</v>
      </c>
      <c r="D2144" t="str">
        <f t="shared" si="69"/>
        <v>1.5</v>
      </c>
      <c r="E2144" t="s">
        <v>1760</v>
      </c>
      <c r="F2144">
        <v>198501</v>
      </c>
      <c r="G2144">
        <v>199012</v>
      </c>
      <c r="H2144">
        <v>63</v>
      </c>
      <c r="I2144">
        <v>85</v>
      </c>
      <c r="J2144">
        <v>1488</v>
      </c>
      <c r="K2144">
        <v>3032404</v>
      </c>
      <c r="L2144" t="s">
        <v>33</v>
      </c>
      <c r="M2144" t="str">
        <f>"J4844011"</f>
        <v>J4844011</v>
      </c>
      <c r="N2144" t="str">
        <f>"J4844011"</f>
        <v>J4844011</v>
      </c>
      <c r="O2144" t="str">
        <f>""</f>
        <v/>
      </c>
      <c r="P2144" t="s">
        <v>206</v>
      </c>
      <c r="Q2144" t="str">
        <f>"8711768137069"</f>
        <v>8711768137069</v>
      </c>
      <c r="R2144" t="s">
        <v>213</v>
      </c>
      <c r="S2144" t="s">
        <v>214</v>
      </c>
      <c r="T2144" s="1" t="s">
        <v>215</v>
      </c>
      <c r="U2144">
        <v>51</v>
      </c>
      <c r="V2144" t="s">
        <v>206</v>
      </c>
      <c r="W2144" t="s">
        <v>210</v>
      </c>
      <c r="X2144" t="s">
        <v>211</v>
      </c>
      <c r="Y2144" t="s">
        <v>212</v>
      </c>
    </row>
    <row r="2145" spans="1:25">
      <c r="A2145">
        <v>13532</v>
      </c>
      <c r="B2145" t="s">
        <v>25</v>
      </c>
      <c r="C2145" t="str">
        <f t="shared" si="68"/>
        <v>INTEGRA Hatchback</v>
      </c>
      <c r="D2145" t="str">
        <f t="shared" si="69"/>
        <v>1.5</v>
      </c>
      <c r="E2145" t="s">
        <v>1760</v>
      </c>
      <c r="F2145">
        <v>198501</v>
      </c>
      <c r="G2145">
        <v>199012</v>
      </c>
      <c r="H2145">
        <v>63</v>
      </c>
      <c r="I2145">
        <v>85</v>
      </c>
      <c r="J2145">
        <v>1488</v>
      </c>
      <c r="K2145">
        <v>3956470</v>
      </c>
      <c r="L2145" t="s">
        <v>27</v>
      </c>
      <c r="M2145" t="str">
        <f>"14528004"</f>
        <v>14528004</v>
      </c>
      <c r="N2145" t="str">
        <f>"1452-8004"</f>
        <v>1452-8004</v>
      </c>
      <c r="O2145" t="str">
        <f>""</f>
        <v/>
      </c>
      <c r="P2145" t="s">
        <v>206</v>
      </c>
      <c r="Q2145" t="str">
        <f>"8718993060919"</f>
        <v>8718993060919</v>
      </c>
      <c r="R2145" t="s">
        <v>207</v>
      </c>
      <c r="S2145" t="s">
        <v>216</v>
      </c>
      <c r="T2145" s="1" t="s">
        <v>217</v>
      </c>
      <c r="U2145">
        <v>51</v>
      </c>
      <c r="V2145" t="s">
        <v>206</v>
      </c>
      <c r="W2145" t="s">
        <v>210</v>
      </c>
      <c r="X2145" t="s">
        <v>211</v>
      </c>
      <c r="Y2145" t="s">
        <v>212</v>
      </c>
    </row>
    <row r="2146" spans="1:25">
      <c r="A2146">
        <v>13532</v>
      </c>
      <c r="B2146" t="s">
        <v>25</v>
      </c>
      <c r="C2146" t="str">
        <f t="shared" si="68"/>
        <v>INTEGRA Hatchback</v>
      </c>
      <c r="D2146" t="str">
        <f t="shared" si="69"/>
        <v>1.5</v>
      </c>
      <c r="E2146" t="s">
        <v>1760</v>
      </c>
      <c r="F2146">
        <v>198501</v>
      </c>
      <c r="G2146">
        <v>199012</v>
      </c>
      <c r="H2146">
        <v>63</v>
      </c>
      <c r="I2146">
        <v>85</v>
      </c>
      <c r="J2146">
        <v>1488</v>
      </c>
      <c r="K2146">
        <v>3030583</v>
      </c>
      <c r="L2146" t="s">
        <v>33</v>
      </c>
      <c r="M2146" t="str">
        <f>"J3504009"</f>
        <v>J3504009</v>
      </c>
      <c r="N2146" t="str">
        <f>"J3504009"</f>
        <v>J3504009</v>
      </c>
      <c r="O2146" t="str">
        <f>""</f>
        <v/>
      </c>
      <c r="P2146" t="s">
        <v>219</v>
      </c>
      <c r="Q2146" t="str">
        <f>"8711768054830"</f>
        <v>8711768054830</v>
      </c>
      <c r="R2146" t="s">
        <v>244</v>
      </c>
      <c r="S2146" t="s">
        <v>221</v>
      </c>
      <c r="T2146" s="1" t="s">
        <v>245</v>
      </c>
      <c r="U2146">
        <v>70</v>
      </c>
      <c r="V2146" t="s">
        <v>219</v>
      </c>
      <c r="W2146" t="s">
        <v>223</v>
      </c>
      <c r="X2146" t="s">
        <v>224</v>
      </c>
    </row>
    <row r="2147" spans="1:25">
      <c r="A2147">
        <v>13532</v>
      </c>
      <c r="B2147" t="s">
        <v>25</v>
      </c>
      <c r="C2147" t="str">
        <f t="shared" si="68"/>
        <v>INTEGRA Hatchback</v>
      </c>
      <c r="D2147" t="str">
        <f t="shared" si="69"/>
        <v>1.5</v>
      </c>
      <c r="E2147" t="s">
        <v>1760</v>
      </c>
      <c r="F2147">
        <v>198501</v>
      </c>
      <c r="G2147">
        <v>199012</v>
      </c>
      <c r="H2147">
        <v>63</v>
      </c>
      <c r="I2147">
        <v>85</v>
      </c>
      <c r="J2147">
        <v>1488</v>
      </c>
      <c r="K2147">
        <v>3963748</v>
      </c>
      <c r="L2147" t="s">
        <v>27</v>
      </c>
      <c r="M2147" t="str">
        <f>"H04601"</f>
        <v>H04601</v>
      </c>
      <c r="N2147" t="str">
        <f>"H046-01"</f>
        <v>H046-01</v>
      </c>
      <c r="O2147" t="str">
        <f>""</f>
        <v/>
      </c>
      <c r="P2147" t="s">
        <v>219</v>
      </c>
      <c r="Q2147" t="str">
        <f>"8718993207031"</f>
        <v>8718993207031</v>
      </c>
      <c r="R2147" t="s">
        <v>250</v>
      </c>
      <c r="T2147" s="1" t="s">
        <v>251</v>
      </c>
      <c r="U2147">
        <v>70</v>
      </c>
      <c r="V2147" t="s">
        <v>219</v>
      </c>
      <c r="W2147" t="s">
        <v>223</v>
      </c>
      <c r="X2147" t="s">
        <v>224</v>
      </c>
    </row>
    <row r="2148" spans="1:25">
      <c r="A2148">
        <v>13532</v>
      </c>
      <c r="B2148" t="s">
        <v>25</v>
      </c>
      <c r="C2148" t="str">
        <f t="shared" si="68"/>
        <v>INTEGRA Hatchback</v>
      </c>
      <c r="D2148" t="str">
        <f t="shared" si="69"/>
        <v>1.5</v>
      </c>
      <c r="E2148" t="s">
        <v>1760</v>
      </c>
      <c r="F2148">
        <v>198501</v>
      </c>
      <c r="G2148">
        <v>199012</v>
      </c>
      <c r="H2148">
        <v>63</v>
      </c>
      <c r="I2148">
        <v>85</v>
      </c>
      <c r="J2148">
        <v>1488</v>
      </c>
      <c r="K2148">
        <v>3029294</v>
      </c>
      <c r="L2148" t="s">
        <v>33</v>
      </c>
      <c r="M2148" t="str">
        <f>"J3214000"</f>
        <v>J3214000</v>
      </c>
      <c r="N2148" t="str">
        <f>"J3214000"</f>
        <v>J3214000</v>
      </c>
      <c r="O2148" t="str">
        <f>""</f>
        <v/>
      </c>
      <c r="P2148" t="s">
        <v>261</v>
      </c>
      <c r="Q2148" t="str">
        <f>"8711768087401"</f>
        <v>8711768087401</v>
      </c>
      <c r="R2148" t="s">
        <v>262</v>
      </c>
      <c r="S2148" t="s">
        <v>263</v>
      </c>
      <c r="T2148" s="1" t="s">
        <v>264</v>
      </c>
      <c r="U2148">
        <v>78</v>
      </c>
      <c r="V2148" t="s">
        <v>261</v>
      </c>
      <c r="W2148" t="s">
        <v>261</v>
      </c>
      <c r="X2148" t="s">
        <v>224</v>
      </c>
    </row>
    <row r="2149" spans="1:25">
      <c r="A2149">
        <v>13532</v>
      </c>
      <c r="B2149" t="s">
        <v>25</v>
      </c>
      <c r="C2149" t="str">
        <f t="shared" si="68"/>
        <v>INTEGRA Hatchback</v>
      </c>
      <c r="D2149" t="str">
        <f t="shared" si="69"/>
        <v>1.5</v>
      </c>
      <c r="E2149" t="s">
        <v>1760</v>
      </c>
      <c r="F2149">
        <v>198501</v>
      </c>
      <c r="G2149">
        <v>199012</v>
      </c>
      <c r="H2149">
        <v>63</v>
      </c>
      <c r="I2149">
        <v>85</v>
      </c>
      <c r="J2149">
        <v>1488</v>
      </c>
      <c r="K2149">
        <v>3029548</v>
      </c>
      <c r="L2149" t="s">
        <v>33</v>
      </c>
      <c r="M2149" t="str">
        <f>"J3224000"</f>
        <v>J3224000</v>
      </c>
      <c r="N2149" t="str">
        <f>"J3224000"</f>
        <v>J3224000</v>
      </c>
      <c r="O2149" t="str">
        <f>""</f>
        <v/>
      </c>
      <c r="P2149" t="s">
        <v>261</v>
      </c>
      <c r="Q2149" t="str">
        <f>"8711768087548"</f>
        <v>8711768087548</v>
      </c>
      <c r="R2149" t="s">
        <v>262</v>
      </c>
      <c r="S2149" t="s">
        <v>265</v>
      </c>
      <c r="T2149" s="1" t="s">
        <v>266</v>
      </c>
      <c r="U2149">
        <v>78</v>
      </c>
      <c r="V2149" t="s">
        <v>261</v>
      </c>
      <c r="W2149" t="s">
        <v>261</v>
      </c>
      <c r="X2149" t="s">
        <v>224</v>
      </c>
    </row>
    <row r="2150" spans="1:25">
      <c r="A2150">
        <v>13532</v>
      </c>
      <c r="B2150" t="s">
        <v>25</v>
      </c>
      <c r="C2150" t="str">
        <f t="shared" si="68"/>
        <v>INTEGRA Hatchback</v>
      </c>
      <c r="D2150" t="str">
        <f t="shared" si="69"/>
        <v>1.5</v>
      </c>
      <c r="E2150" t="s">
        <v>1760</v>
      </c>
      <c r="F2150">
        <v>198501</v>
      </c>
      <c r="G2150">
        <v>199012</v>
      </c>
      <c r="H2150">
        <v>63</v>
      </c>
      <c r="I2150">
        <v>85</v>
      </c>
      <c r="J2150">
        <v>1488</v>
      </c>
      <c r="K2150">
        <v>2877</v>
      </c>
      <c r="L2150" t="s">
        <v>236</v>
      </c>
      <c r="M2150" t="str">
        <f>"H1141V"</f>
        <v>H1141V</v>
      </c>
      <c r="N2150" t="str">
        <f>"H1141V"</f>
        <v>H1141V</v>
      </c>
      <c r="O2150" t="str">
        <f>"H1141V"</f>
        <v>H1141V</v>
      </c>
      <c r="P2150" t="s">
        <v>267</v>
      </c>
      <c r="Q2150" t="str">
        <f>"8032532071052"</f>
        <v>8032532071052</v>
      </c>
      <c r="R2150" t="s">
        <v>268</v>
      </c>
      <c r="S2150" t="s">
        <v>269</v>
      </c>
      <c r="T2150" s="1" t="s">
        <v>270</v>
      </c>
      <c r="U2150">
        <v>82</v>
      </c>
      <c r="V2150" t="s">
        <v>267</v>
      </c>
      <c r="W2150" t="s">
        <v>267</v>
      </c>
      <c r="X2150" t="s">
        <v>224</v>
      </c>
    </row>
    <row r="2151" spans="1:25">
      <c r="A2151">
        <v>13532</v>
      </c>
      <c r="B2151" t="s">
        <v>25</v>
      </c>
      <c r="C2151" t="str">
        <f t="shared" si="68"/>
        <v>INTEGRA Hatchback</v>
      </c>
      <c r="D2151" t="str">
        <f t="shared" si="69"/>
        <v>1.5</v>
      </c>
      <c r="E2151" t="s">
        <v>1760</v>
      </c>
      <c r="F2151">
        <v>198501</v>
      </c>
      <c r="G2151">
        <v>199012</v>
      </c>
      <c r="H2151">
        <v>63</v>
      </c>
      <c r="I2151">
        <v>85</v>
      </c>
      <c r="J2151">
        <v>1488</v>
      </c>
      <c r="K2151">
        <v>112212</v>
      </c>
      <c r="L2151" t="s">
        <v>199</v>
      </c>
      <c r="M2151" t="str">
        <f>"37580"</f>
        <v>37580</v>
      </c>
      <c r="N2151" t="str">
        <f>"37580"</f>
        <v>37580</v>
      </c>
      <c r="O2151" t="str">
        <f>""</f>
        <v/>
      </c>
      <c r="P2151" t="s">
        <v>267</v>
      </c>
      <c r="Q2151" t="str">
        <f>""</f>
        <v/>
      </c>
      <c r="R2151" t="s">
        <v>271</v>
      </c>
      <c r="S2151" t="s">
        <v>272</v>
      </c>
      <c r="T2151" t="s">
        <v>273</v>
      </c>
      <c r="U2151">
        <v>82</v>
      </c>
      <c r="V2151" t="s">
        <v>267</v>
      </c>
      <c r="W2151" t="s">
        <v>267</v>
      </c>
      <c r="X2151" t="s">
        <v>224</v>
      </c>
    </row>
    <row r="2152" spans="1:25">
      <c r="A2152">
        <v>13532</v>
      </c>
      <c r="B2152" t="s">
        <v>25</v>
      </c>
      <c r="C2152" t="str">
        <f t="shared" si="68"/>
        <v>INTEGRA Hatchback</v>
      </c>
      <c r="D2152" t="str">
        <f t="shared" si="69"/>
        <v>1.5</v>
      </c>
      <c r="E2152" t="s">
        <v>1760</v>
      </c>
      <c r="F2152">
        <v>198501</v>
      </c>
      <c r="G2152">
        <v>199012</v>
      </c>
      <c r="H2152">
        <v>63</v>
      </c>
      <c r="I2152">
        <v>85</v>
      </c>
      <c r="J2152">
        <v>1488</v>
      </c>
      <c r="K2152">
        <v>211976</v>
      </c>
      <c r="L2152" t="s">
        <v>274</v>
      </c>
      <c r="M2152" t="str">
        <f>"190817"</f>
        <v>190817</v>
      </c>
      <c r="N2152" t="str">
        <f>"19-0817"</f>
        <v>19-0817</v>
      </c>
      <c r="O2152" t="str">
        <f>""</f>
        <v/>
      </c>
      <c r="P2152" t="s">
        <v>267</v>
      </c>
      <c r="Q2152" t="str">
        <f>""</f>
        <v/>
      </c>
      <c r="R2152" t="s">
        <v>275</v>
      </c>
      <c r="T2152" t="s">
        <v>276</v>
      </c>
      <c r="U2152">
        <v>82</v>
      </c>
      <c r="V2152" t="s">
        <v>267</v>
      </c>
      <c r="W2152" t="s">
        <v>267</v>
      </c>
      <c r="X2152" t="s">
        <v>224</v>
      </c>
    </row>
    <row r="2153" spans="1:25">
      <c r="A2153">
        <v>13532</v>
      </c>
      <c r="B2153" t="s">
        <v>25</v>
      </c>
      <c r="C2153" t="str">
        <f t="shared" si="68"/>
        <v>INTEGRA Hatchback</v>
      </c>
      <c r="D2153" t="str">
        <f t="shared" si="69"/>
        <v>1.5</v>
      </c>
      <c r="E2153" t="s">
        <v>1760</v>
      </c>
      <c r="F2153">
        <v>198501</v>
      </c>
      <c r="G2153">
        <v>199012</v>
      </c>
      <c r="H2153">
        <v>63</v>
      </c>
      <c r="I2153">
        <v>85</v>
      </c>
      <c r="J2153">
        <v>1488</v>
      </c>
      <c r="K2153">
        <v>211977</v>
      </c>
      <c r="L2153" t="s">
        <v>274</v>
      </c>
      <c r="M2153" t="str">
        <f>"190818"</f>
        <v>190818</v>
      </c>
      <c r="N2153" t="str">
        <f>"19-0818"</f>
        <v>19-0818</v>
      </c>
      <c r="O2153" t="str">
        <f>""</f>
        <v/>
      </c>
      <c r="P2153" t="s">
        <v>267</v>
      </c>
      <c r="Q2153" t="str">
        <f>""</f>
        <v/>
      </c>
      <c r="R2153" t="s">
        <v>277</v>
      </c>
      <c r="T2153" t="s">
        <v>278</v>
      </c>
      <c r="U2153">
        <v>82</v>
      </c>
      <c r="V2153" t="s">
        <v>267</v>
      </c>
      <c r="W2153" t="s">
        <v>267</v>
      </c>
      <c r="X2153" t="s">
        <v>224</v>
      </c>
    </row>
    <row r="2154" spans="1:25">
      <c r="A2154">
        <v>13532</v>
      </c>
      <c r="B2154" t="s">
        <v>25</v>
      </c>
      <c r="C2154" t="str">
        <f t="shared" si="68"/>
        <v>INTEGRA Hatchback</v>
      </c>
      <c r="D2154" t="str">
        <f t="shared" si="69"/>
        <v>1.5</v>
      </c>
      <c r="E2154" t="s">
        <v>1760</v>
      </c>
      <c r="F2154">
        <v>198501</v>
      </c>
      <c r="G2154">
        <v>199012</v>
      </c>
      <c r="H2154">
        <v>63</v>
      </c>
      <c r="I2154">
        <v>85</v>
      </c>
      <c r="J2154">
        <v>1488</v>
      </c>
      <c r="K2154">
        <v>211984</v>
      </c>
      <c r="L2154" t="s">
        <v>274</v>
      </c>
      <c r="M2154" t="str">
        <f>"190838"</f>
        <v>190838</v>
      </c>
      <c r="N2154" t="str">
        <f>"19-0838"</f>
        <v>19-0838</v>
      </c>
      <c r="O2154" t="str">
        <f>""</f>
        <v/>
      </c>
      <c r="P2154" t="s">
        <v>267</v>
      </c>
      <c r="Q2154" t="str">
        <f>""</f>
        <v/>
      </c>
      <c r="R2154" t="s">
        <v>279</v>
      </c>
      <c r="T2154" s="1" t="s">
        <v>280</v>
      </c>
      <c r="U2154">
        <v>82</v>
      </c>
      <c r="V2154" t="s">
        <v>267</v>
      </c>
      <c r="W2154" t="s">
        <v>267</v>
      </c>
      <c r="X2154" t="s">
        <v>224</v>
      </c>
    </row>
    <row r="2155" spans="1:25">
      <c r="A2155">
        <v>13532</v>
      </c>
      <c r="B2155" t="s">
        <v>25</v>
      </c>
      <c r="C2155" t="str">
        <f t="shared" si="68"/>
        <v>INTEGRA Hatchback</v>
      </c>
      <c r="D2155" t="str">
        <f t="shared" si="69"/>
        <v>1.5</v>
      </c>
      <c r="E2155" t="s">
        <v>1760</v>
      </c>
      <c r="F2155">
        <v>198501</v>
      </c>
      <c r="G2155">
        <v>199012</v>
      </c>
      <c r="H2155">
        <v>63</v>
      </c>
      <c r="I2155">
        <v>85</v>
      </c>
      <c r="J2155">
        <v>1488</v>
      </c>
      <c r="K2155">
        <v>304779</v>
      </c>
      <c r="L2155" t="s">
        <v>247</v>
      </c>
      <c r="M2155" t="str">
        <f>"BD0104"</f>
        <v>BD0104</v>
      </c>
      <c r="N2155" t="str">
        <f>"BD0104"</f>
        <v>BD0104</v>
      </c>
      <c r="O2155" t="str">
        <f>""</f>
        <v/>
      </c>
      <c r="P2155" t="s">
        <v>267</v>
      </c>
      <c r="Q2155" t="str">
        <f>""</f>
        <v/>
      </c>
      <c r="R2155" t="s">
        <v>281</v>
      </c>
      <c r="S2155" t="s">
        <v>282</v>
      </c>
      <c r="T2155" s="1" t="s">
        <v>283</v>
      </c>
      <c r="U2155">
        <v>82</v>
      </c>
      <c r="V2155" t="s">
        <v>267</v>
      </c>
      <c r="W2155" t="s">
        <v>267</v>
      </c>
      <c r="X2155" t="s">
        <v>224</v>
      </c>
    </row>
    <row r="2156" spans="1:25">
      <c r="A2156">
        <v>13532</v>
      </c>
      <c r="B2156" t="s">
        <v>25</v>
      </c>
      <c r="C2156" t="str">
        <f t="shared" si="68"/>
        <v>INTEGRA Hatchback</v>
      </c>
      <c r="D2156" t="str">
        <f t="shared" si="69"/>
        <v>1.5</v>
      </c>
      <c r="E2156" t="s">
        <v>1760</v>
      </c>
      <c r="F2156">
        <v>198501</v>
      </c>
      <c r="G2156">
        <v>199012</v>
      </c>
      <c r="H2156">
        <v>63</v>
      </c>
      <c r="I2156">
        <v>85</v>
      </c>
      <c r="J2156">
        <v>1488</v>
      </c>
      <c r="K2156">
        <v>332234</v>
      </c>
      <c r="L2156" t="s">
        <v>239</v>
      </c>
      <c r="M2156" t="str">
        <f>"DF104"</f>
        <v>DF104</v>
      </c>
      <c r="N2156" t="str">
        <f>"DF104"</f>
        <v>DF104</v>
      </c>
      <c r="O2156" t="str">
        <f>""</f>
        <v/>
      </c>
      <c r="P2156" t="s">
        <v>267</v>
      </c>
      <c r="Q2156" t="str">
        <f>""</f>
        <v/>
      </c>
      <c r="R2156" t="s">
        <v>281</v>
      </c>
      <c r="S2156" t="s">
        <v>282</v>
      </c>
      <c r="T2156" s="1" t="s">
        <v>283</v>
      </c>
      <c r="U2156">
        <v>82</v>
      </c>
      <c r="V2156" t="s">
        <v>267</v>
      </c>
      <c r="W2156" t="s">
        <v>267</v>
      </c>
      <c r="X2156" t="s">
        <v>224</v>
      </c>
    </row>
    <row r="2157" spans="1:25">
      <c r="A2157">
        <v>13532</v>
      </c>
      <c r="B2157" t="s">
        <v>25</v>
      </c>
      <c r="C2157" t="str">
        <f t="shared" si="68"/>
        <v>INTEGRA Hatchback</v>
      </c>
      <c r="D2157" t="str">
        <f t="shared" si="69"/>
        <v>1.5</v>
      </c>
      <c r="E2157" t="s">
        <v>1760</v>
      </c>
      <c r="F2157">
        <v>198501</v>
      </c>
      <c r="G2157">
        <v>199012</v>
      </c>
      <c r="H2157">
        <v>63</v>
      </c>
      <c r="I2157">
        <v>85</v>
      </c>
      <c r="J2157">
        <v>1488</v>
      </c>
      <c r="K2157">
        <v>557318</v>
      </c>
      <c r="L2157" t="s">
        <v>285</v>
      </c>
      <c r="M2157" t="str">
        <f>"562016S"</f>
        <v>562016S</v>
      </c>
      <c r="N2157" t="str">
        <f>"562016S"</f>
        <v>562016S</v>
      </c>
      <c r="O2157" t="str">
        <f>""</f>
        <v/>
      </c>
      <c r="P2157" t="s">
        <v>267</v>
      </c>
      <c r="Q2157" t="str">
        <f>"3306437250054"</f>
        <v>3306437250054</v>
      </c>
      <c r="R2157" t="s">
        <v>286</v>
      </c>
      <c r="S2157" t="s">
        <v>287</v>
      </c>
      <c r="T2157" s="1" t="s">
        <v>288</v>
      </c>
      <c r="U2157">
        <v>82</v>
      </c>
      <c r="V2157" t="s">
        <v>267</v>
      </c>
      <c r="W2157" t="s">
        <v>267</v>
      </c>
      <c r="X2157" t="s">
        <v>224</v>
      </c>
    </row>
    <row r="2158" spans="1:25">
      <c r="A2158">
        <v>13532</v>
      </c>
      <c r="B2158" t="s">
        <v>25</v>
      </c>
      <c r="C2158" t="str">
        <f t="shared" si="68"/>
        <v>INTEGRA Hatchback</v>
      </c>
      <c r="D2158" t="str">
        <f t="shared" si="69"/>
        <v>1.5</v>
      </c>
      <c r="E2158" t="s">
        <v>1760</v>
      </c>
      <c r="F2158">
        <v>198501</v>
      </c>
      <c r="G2158">
        <v>199012</v>
      </c>
      <c r="H2158">
        <v>63</v>
      </c>
      <c r="I2158">
        <v>85</v>
      </c>
      <c r="J2158">
        <v>1488</v>
      </c>
      <c r="K2158">
        <v>655150</v>
      </c>
      <c r="L2158" t="s">
        <v>149</v>
      </c>
      <c r="M2158" t="str">
        <f>"B130096"</f>
        <v>B130096</v>
      </c>
      <c r="N2158" t="str">
        <f>"B130096"</f>
        <v>B130096</v>
      </c>
      <c r="O2158" t="str">
        <f>""</f>
        <v/>
      </c>
      <c r="P2158" t="s">
        <v>267</v>
      </c>
      <c r="Q2158" t="str">
        <f>"5901225727954"</f>
        <v>5901225727954</v>
      </c>
      <c r="R2158" t="s">
        <v>289</v>
      </c>
      <c r="T2158" s="1" t="s">
        <v>290</v>
      </c>
      <c r="U2158">
        <v>82</v>
      </c>
      <c r="V2158" t="s">
        <v>267</v>
      </c>
      <c r="W2158" t="s">
        <v>267</v>
      </c>
      <c r="X2158" t="s">
        <v>224</v>
      </c>
    </row>
    <row r="2159" spans="1:25">
      <c r="A2159">
        <v>13532</v>
      </c>
      <c r="B2159" t="s">
        <v>25</v>
      </c>
      <c r="C2159" t="str">
        <f t="shared" si="68"/>
        <v>INTEGRA Hatchback</v>
      </c>
      <c r="D2159" t="str">
        <f t="shared" si="69"/>
        <v>1.5</v>
      </c>
      <c r="E2159" t="s">
        <v>1760</v>
      </c>
      <c r="F2159">
        <v>198501</v>
      </c>
      <c r="G2159">
        <v>199012</v>
      </c>
      <c r="H2159">
        <v>63</v>
      </c>
      <c r="I2159">
        <v>85</v>
      </c>
      <c r="J2159">
        <v>1488</v>
      </c>
      <c r="K2159">
        <v>761189</v>
      </c>
      <c r="L2159" t="s">
        <v>51</v>
      </c>
      <c r="M2159" t="str">
        <f>"HPD916"</f>
        <v>HPD916</v>
      </c>
      <c r="N2159" t="str">
        <f>"HPD 916"</f>
        <v>HPD 916</v>
      </c>
      <c r="O2159" t="str">
        <f>"ref. IB: HHO 14 1V"</f>
        <v>ref. IB: HHO 14 1V</v>
      </c>
      <c r="P2159" t="s">
        <v>267</v>
      </c>
      <c r="Q2159" t="str">
        <f>"8029172003789"</f>
        <v>8029172003789</v>
      </c>
      <c r="R2159" t="s">
        <v>291</v>
      </c>
      <c r="S2159" t="s">
        <v>292</v>
      </c>
      <c r="T2159" s="1" t="s">
        <v>293</v>
      </c>
      <c r="U2159">
        <v>82</v>
      </c>
      <c r="V2159" t="s">
        <v>267</v>
      </c>
      <c r="W2159" t="s">
        <v>267</v>
      </c>
      <c r="X2159" t="s">
        <v>224</v>
      </c>
    </row>
    <row r="2160" spans="1:25">
      <c r="A2160">
        <v>13532</v>
      </c>
      <c r="B2160" t="s">
        <v>25</v>
      </c>
      <c r="C2160" t="str">
        <f t="shared" si="68"/>
        <v>INTEGRA Hatchback</v>
      </c>
      <c r="D2160" t="str">
        <f t="shared" si="69"/>
        <v>1.5</v>
      </c>
      <c r="E2160" t="s">
        <v>1760</v>
      </c>
      <c r="F2160">
        <v>198501</v>
      </c>
      <c r="G2160">
        <v>199012</v>
      </c>
      <c r="H2160">
        <v>63</v>
      </c>
      <c r="I2160">
        <v>85</v>
      </c>
      <c r="J2160">
        <v>1488</v>
      </c>
      <c r="K2160">
        <v>843413</v>
      </c>
      <c r="L2160" t="s">
        <v>294</v>
      </c>
      <c r="M2160" t="str">
        <f>"V305"</f>
        <v>V305</v>
      </c>
      <c r="N2160" t="str">
        <f>"V305"</f>
        <v>V305</v>
      </c>
      <c r="O2160" t="str">
        <f>""</f>
        <v/>
      </c>
      <c r="P2160" t="s">
        <v>267</v>
      </c>
      <c r="Q2160" t="str">
        <f>""</f>
        <v/>
      </c>
      <c r="R2160" t="s">
        <v>295</v>
      </c>
      <c r="S2160" t="s">
        <v>296</v>
      </c>
      <c r="T2160" s="1" t="s">
        <v>297</v>
      </c>
      <c r="U2160">
        <v>82</v>
      </c>
      <c r="V2160" t="s">
        <v>267</v>
      </c>
      <c r="W2160" t="s">
        <v>267</v>
      </c>
      <c r="X2160" t="s">
        <v>224</v>
      </c>
    </row>
    <row r="2161" spans="1:24">
      <c r="A2161">
        <v>13532</v>
      </c>
      <c r="B2161" t="s">
        <v>25</v>
      </c>
      <c r="C2161" t="str">
        <f t="shared" si="68"/>
        <v>INTEGRA Hatchback</v>
      </c>
      <c r="D2161" t="str">
        <f t="shared" si="69"/>
        <v>1.5</v>
      </c>
      <c r="E2161" t="s">
        <v>1760</v>
      </c>
      <c r="F2161">
        <v>198501</v>
      </c>
      <c r="G2161">
        <v>199012</v>
      </c>
      <c r="H2161">
        <v>63</v>
      </c>
      <c r="I2161">
        <v>85</v>
      </c>
      <c r="J2161">
        <v>1488</v>
      </c>
      <c r="K2161">
        <v>895085</v>
      </c>
      <c r="L2161" t="s">
        <v>298</v>
      </c>
      <c r="M2161" t="str">
        <f>"370003"</f>
        <v>370003</v>
      </c>
      <c r="N2161" t="str">
        <f>"37-0003"</f>
        <v>37-0003</v>
      </c>
      <c r="O2161" t="str">
        <f>""</f>
        <v/>
      </c>
      <c r="P2161" t="s">
        <v>267</v>
      </c>
      <c r="Q2161" t="str">
        <f>""</f>
        <v/>
      </c>
      <c r="R2161" s="1" t="s">
        <v>299</v>
      </c>
      <c r="S2161" t="s">
        <v>300</v>
      </c>
      <c r="T2161" s="1" t="s">
        <v>301</v>
      </c>
      <c r="U2161">
        <v>82</v>
      </c>
      <c r="V2161" t="s">
        <v>267</v>
      </c>
      <c r="W2161" t="s">
        <v>267</v>
      </c>
      <c r="X2161" t="s">
        <v>224</v>
      </c>
    </row>
    <row r="2162" spans="1:24">
      <c r="A2162">
        <v>13532</v>
      </c>
      <c r="B2162" t="s">
        <v>25</v>
      </c>
      <c r="C2162" t="str">
        <f t="shared" si="68"/>
        <v>INTEGRA Hatchback</v>
      </c>
      <c r="D2162" t="str">
        <f t="shared" si="69"/>
        <v>1.5</v>
      </c>
      <c r="E2162" t="s">
        <v>1760</v>
      </c>
      <c r="F2162">
        <v>198501</v>
      </c>
      <c r="G2162">
        <v>199012</v>
      </c>
      <c r="H2162">
        <v>63</v>
      </c>
      <c r="I2162">
        <v>85</v>
      </c>
      <c r="J2162">
        <v>1488</v>
      </c>
      <c r="K2162">
        <v>938474</v>
      </c>
      <c r="L2162" t="s">
        <v>302</v>
      </c>
      <c r="M2162" t="str">
        <f>"8510080000"</f>
        <v>8510080000</v>
      </c>
      <c r="N2162" t="str">
        <f>"851008.0000"</f>
        <v>851008.0000</v>
      </c>
      <c r="O2162" t="str">
        <f>""</f>
        <v/>
      </c>
      <c r="P2162" t="s">
        <v>267</v>
      </c>
      <c r="Q2162" t="str">
        <f>""</f>
        <v/>
      </c>
      <c r="R2162" s="1" t="s">
        <v>303</v>
      </c>
      <c r="S2162" t="s">
        <v>304</v>
      </c>
      <c r="T2162" t="s">
        <v>305</v>
      </c>
      <c r="U2162">
        <v>82</v>
      </c>
      <c r="V2162" t="s">
        <v>267</v>
      </c>
      <c r="W2162" t="s">
        <v>267</v>
      </c>
      <c r="X2162" t="s">
        <v>224</v>
      </c>
    </row>
    <row r="2163" spans="1:24">
      <c r="A2163">
        <v>13532</v>
      </c>
      <c r="B2163" t="s">
        <v>25</v>
      </c>
      <c r="C2163" t="str">
        <f t="shared" si="68"/>
        <v>INTEGRA Hatchback</v>
      </c>
      <c r="D2163" t="str">
        <f t="shared" si="69"/>
        <v>1.5</v>
      </c>
      <c r="E2163" t="s">
        <v>1760</v>
      </c>
      <c r="F2163">
        <v>198501</v>
      </c>
      <c r="G2163">
        <v>199012</v>
      </c>
      <c r="H2163">
        <v>63</v>
      </c>
      <c r="I2163">
        <v>85</v>
      </c>
      <c r="J2163">
        <v>1488</v>
      </c>
      <c r="K2163">
        <v>938489</v>
      </c>
      <c r="L2163" t="s">
        <v>302</v>
      </c>
      <c r="M2163" t="str">
        <f>"8510540000"</f>
        <v>8510540000</v>
      </c>
      <c r="N2163" t="str">
        <f>"851054.0000"</f>
        <v>851054.0000</v>
      </c>
      <c r="O2163" t="str">
        <f>""</f>
        <v/>
      </c>
      <c r="P2163" t="s">
        <v>267</v>
      </c>
      <c r="Q2163" t="str">
        <f>""</f>
        <v/>
      </c>
      <c r="R2163" s="1" t="s">
        <v>306</v>
      </c>
      <c r="S2163" t="s">
        <v>307</v>
      </c>
      <c r="T2163" t="s">
        <v>308</v>
      </c>
      <c r="U2163">
        <v>82</v>
      </c>
      <c r="V2163" t="s">
        <v>267</v>
      </c>
      <c r="W2163" t="s">
        <v>267</v>
      </c>
      <c r="X2163" t="s">
        <v>224</v>
      </c>
    </row>
    <row r="2164" spans="1:24">
      <c r="A2164">
        <v>13532</v>
      </c>
      <c r="B2164" t="s">
        <v>25</v>
      </c>
      <c r="C2164" t="str">
        <f t="shared" si="68"/>
        <v>INTEGRA Hatchback</v>
      </c>
      <c r="D2164" t="str">
        <f t="shared" si="69"/>
        <v>1.5</v>
      </c>
      <c r="E2164" t="s">
        <v>1760</v>
      </c>
      <c r="F2164">
        <v>198501</v>
      </c>
      <c r="G2164">
        <v>199012</v>
      </c>
      <c r="H2164">
        <v>63</v>
      </c>
      <c r="I2164">
        <v>85</v>
      </c>
      <c r="J2164">
        <v>1488</v>
      </c>
      <c r="K2164">
        <v>955137</v>
      </c>
      <c r="L2164" t="s">
        <v>218</v>
      </c>
      <c r="M2164" t="str">
        <f>"PRD2182"</f>
        <v>PRD2182</v>
      </c>
      <c r="N2164" t="str">
        <f>"PRD2182"</f>
        <v>PRD2182</v>
      </c>
      <c r="O2164" t="str">
        <f>""</f>
        <v/>
      </c>
      <c r="P2164" t="s">
        <v>267</v>
      </c>
      <c r="Q2164" t="str">
        <f>""</f>
        <v/>
      </c>
      <c r="R2164" t="s">
        <v>309</v>
      </c>
      <c r="S2164" t="s">
        <v>310</v>
      </c>
      <c r="T2164" s="1" t="s">
        <v>311</v>
      </c>
      <c r="U2164">
        <v>82</v>
      </c>
      <c r="V2164" t="s">
        <v>267</v>
      </c>
      <c r="W2164" t="s">
        <v>267</v>
      </c>
      <c r="X2164" t="s">
        <v>224</v>
      </c>
    </row>
    <row r="2165" spans="1:24">
      <c r="A2165">
        <v>13532</v>
      </c>
      <c r="B2165" t="s">
        <v>25</v>
      </c>
      <c r="C2165" t="str">
        <f t="shared" si="68"/>
        <v>INTEGRA Hatchback</v>
      </c>
      <c r="D2165" t="str">
        <f t="shared" si="69"/>
        <v>1.5</v>
      </c>
      <c r="E2165" t="s">
        <v>1760</v>
      </c>
      <c r="F2165">
        <v>198501</v>
      </c>
      <c r="G2165">
        <v>199012</v>
      </c>
      <c r="H2165">
        <v>63</v>
      </c>
      <c r="I2165">
        <v>85</v>
      </c>
      <c r="J2165">
        <v>1488</v>
      </c>
      <c r="K2165">
        <v>958079</v>
      </c>
      <c r="L2165" t="s">
        <v>218</v>
      </c>
      <c r="M2165" t="str">
        <f>"PRD5174"</f>
        <v>PRD5174</v>
      </c>
      <c r="N2165" t="str">
        <f>"PRD5174"</f>
        <v>PRD5174</v>
      </c>
      <c r="O2165" t="str">
        <f>""</f>
        <v/>
      </c>
      <c r="P2165" t="s">
        <v>267</v>
      </c>
      <c r="Q2165" t="str">
        <f>""</f>
        <v/>
      </c>
      <c r="R2165" t="s">
        <v>312</v>
      </c>
      <c r="S2165" t="s">
        <v>221</v>
      </c>
      <c r="T2165" t="s">
        <v>313</v>
      </c>
      <c r="U2165">
        <v>82</v>
      </c>
      <c r="V2165" t="s">
        <v>267</v>
      </c>
      <c r="W2165" t="s">
        <v>267</v>
      </c>
      <c r="X2165" t="s">
        <v>224</v>
      </c>
    </row>
    <row r="2166" spans="1:24">
      <c r="A2166">
        <v>13532</v>
      </c>
      <c r="B2166" t="s">
        <v>25</v>
      </c>
      <c r="C2166" t="str">
        <f t="shared" si="68"/>
        <v>INTEGRA Hatchback</v>
      </c>
      <c r="D2166" t="str">
        <f t="shared" si="69"/>
        <v>1.5</v>
      </c>
      <c r="E2166" t="s">
        <v>1760</v>
      </c>
      <c r="F2166">
        <v>198501</v>
      </c>
      <c r="G2166">
        <v>199012</v>
      </c>
      <c r="H2166">
        <v>63</v>
      </c>
      <c r="I2166">
        <v>85</v>
      </c>
      <c r="J2166">
        <v>1488</v>
      </c>
      <c r="K2166">
        <v>995288</v>
      </c>
      <c r="L2166" t="s">
        <v>314</v>
      </c>
      <c r="M2166" t="str">
        <f>"98291"</f>
        <v>98291</v>
      </c>
      <c r="N2166" t="str">
        <f>"98291"</f>
        <v>98291</v>
      </c>
      <c r="O2166" t="str">
        <f>""</f>
        <v/>
      </c>
      <c r="P2166" t="s">
        <v>267</v>
      </c>
      <c r="Q2166" t="str">
        <f>""</f>
        <v/>
      </c>
      <c r="R2166" t="s">
        <v>315</v>
      </c>
      <c r="S2166" t="s">
        <v>316</v>
      </c>
      <c r="T2166" s="1" t="s">
        <v>317</v>
      </c>
      <c r="U2166">
        <v>82</v>
      </c>
      <c r="V2166" t="s">
        <v>267</v>
      </c>
      <c r="W2166" t="s">
        <v>267</v>
      </c>
      <c r="X2166" t="s">
        <v>224</v>
      </c>
    </row>
    <row r="2167" spans="1:24">
      <c r="A2167">
        <v>13532</v>
      </c>
      <c r="B2167" t="s">
        <v>25</v>
      </c>
      <c r="C2167" t="str">
        <f t="shared" si="68"/>
        <v>INTEGRA Hatchback</v>
      </c>
      <c r="D2167" t="str">
        <f t="shared" si="69"/>
        <v>1.5</v>
      </c>
      <c r="E2167" t="s">
        <v>1760</v>
      </c>
      <c r="F2167">
        <v>198501</v>
      </c>
      <c r="G2167">
        <v>199012</v>
      </c>
      <c r="H2167">
        <v>63</v>
      </c>
      <c r="I2167">
        <v>85</v>
      </c>
      <c r="J2167">
        <v>1488</v>
      </c>
      <c r="K2167">
        <v>1100365</v>
      </c>
      <c r="L2167" t="s">
        <v>318</v>
      </c>
      <c r="M2167" t="str">
        <f>"24011901061"</f>
        <v>24011901061</v>
      </c>
      <c r="N2167" t="str">
        <f>"24.0119-0106.1"</f>
        <v>24.0119-0106.1</v>
      </c>
      <c r="O2167" t="str">
        <f>"419106"</f>
        <v>419106</v>
      </c>
      <c r="P2167" t="s">
        <v>267</v>
      </c>
      <c r="Q2167" t="str">
        <f>"4006633116114"</f>
        <v>4006633116114</v>
      </c>
      <c r="R2167" s="1" t="s">
        <v>319</v>
      </c>
      <c r="S2167" t="s">
        <v>320</v>
      </c>
      <c r="T2167" s="1" t="s">
        <v>321</v>
      </c>
      <c r="U2167">
        <v>82</v>
      </c>
      <c r="V2167" t="s">
        <v>267</v>
      </c>
      <c r="W2167" t="s">
        <v>267</v>
      </c>
      <c r="X2167" t="s">
        <v>224</v>
      </c>
    </row>
    <row r="2168" spans="1:24">
      <c r="A2168">
        <v>13532</v>
      </c>
      <c r="B2168" t="s">
        <v>25</v>
      </c>
      <c r="C2168" t="str">
        <f t="shared" si="68"/>
        <v>INTEGRA Hatchback</v>
      </c>
      <c r="D2168" t="str">
        <f t="shared" si="69"/>
        <v>1.5</v>
      </c>
      <c r="E2168" t="s">
        <v>1760</v>
      </c>
      <c r="F2168">
        <v>198501</v>
      </c>
      <c r="G2168">
        <v>199012</v>
      </c>
      <c r="H2168">
        <v>63</v>
      </c>
      <c r="I2168">
        <v>85</v>
      </c>
      <c r="J2168">
        <v>1488</v>
      </c>
      <c r="K2168">
        <v>1251530</v>
      </c>
      <c r="L2168" t="s">
        <v>66</v>
      </c>
      <c r="M2168" t="str">
        <f>"186435"</f>
        <v>186435</v>
      </c>
      <c r="N2168" t="str">
        <f>"186435"</f>
        <v>186435</v>
      </c>
      <c r="O2168" t="str">
        <f>""</f>
        <v/>
      </c>
      <c r="P2168" t="s">
        <v>267</v>
      </c>
      <c r="Q2168" t="str">
        <f>"3276421972258"</f>
        <v>3276421972258</v>
      </c>
      <c r="R2168" s="1" t="s">
        <v>322</v>
      </c>
      <c r="T2168" s="1" t="s">
        <v>323</v>
      </c>
      <c r="U2168">
        <v>82</v>
      </c>
      <c r="V2168" t="s">
        <v>267</v>
      </c>
      <c r="W2168" t="s">
        <v>267</v>
      </c>
      <c r="X2168" t="s">
        <v>224</v>
      </c>
    </row>
    <row r="2169" spans="1:24">
      <c r="A2169">
        <v>13532</v>
      </c>
      <c r="B2169" t="s">
        <v>25</v>
      </c>
      <c r="C2169" t="str">
        <f t="shared" si="68"/>
        <v>INTEGRA Hatchback</v>
      </c>
      <c r="D2169" t="str">
        <f t="shared" si="69"/>
        <v>1.5</v>
      </c>
      <c r="E2169" t="s">
        <v>1760</v>
      </c>
      <c r="F2169">
        <v>198501</v>
      </c>
      <c r="G2169">
        <v>199012</v>
      </c>
      <c r="H2169">
        <v>63</v>
      </c>
      <c r="I2169">
        <v>85</v>
      </c>
      <c r="J2169">
        <v>1488</v>
      </c>
      <c r="K2169">
        <v>1678135</v>
      </c>
      <c r="L2169" t="s">
        <v>225</v>
      </c>
      <c r="M2169" t="str">
        <f>"561384J"</f>
        <v>561384J</v>
      </c>
      <c r="N2169" t="str">
        <f>"561384J"</f>
        <v>561384J</v>
      </c>
      <c r="O2169" t="str">
        <f>"561384"</f>
        <v>561384</v>
      </c>
      <c r="P2169" t="s">
        <v>267</v>
      </c>
      <c r="Q2169" t="str">
        <f>"3306435027733"</f>
        <v>3306435027733</v>
      </c>
      <c r="R2169" t="s">
        <v>324</v>
      </c>
      <c r="T2169" s="1" t="s">
        <v>325</v>
      </c>
      <c r="U2169">
        <v>82</v>
      </c>
      <c r="V2169" t="s">
        <v>267</v>
      </c>
      <c r="W2169" t="s">
        <v>267</v>
      </c>
      <c r="X2169" t="s">
        <v>224</v>
      </c>
    </row>
    <row r="2170" spans="1:24">
      <c r="A2170">
        <v>13532</v>
      </c>
      <c r="B2170" t="s">
        <v>25</v>
      </c>
      <c r="C2170" t="str">
        <f t="shared" si="68"/>
        <v>INTEGRA Hatchback</v>
      </c>
      <c r="D2170" t="str">
        <f t="shared" si="69"/>
        <v>1.5</v>
      </c>
      <c r="E2170" t="s">
        <v>1760</v>
      </c>
      <c r="F2170">
        <v>198501</v>
      </c>
      <c r="G2170">
        <v>199012</v>
      </c>
      <c r="H2170">
        <v>63</v>
      </c>
      <c r="I2170">
        <v>85</v>
      </c>
      <c r="J2170">
        <v>1488</v>
      </c>
      <c r="K2170">
        <v>1678136</v>
      </c>
      <c r="L2170" t="s">
        <v>225</v>
      </c>
      <c r="M2170" t="str">
        <f>"561384JC"</f>
        <v>561384JC</v>
      </c>
      <c r="N2170" t="str">
        <f>"561384JC"</f>
        <v>561384JC</v>
      </c>
      <c r="O2170" t="str">
        <f>"561384J"</f>
        <v>561384J</v>
      </c>
      <c r="P2170" t="s">
        <v>267</v>
      </c>
      <c r="Q2170" t="str">
        <f>"3306437207898"</f>
        <v>3306437207898</v>
      </c>
      <c r="R2170" t="s">
        <v>326</v>
      </c>
      <c r="T2170" t="s">
        <v>327</v>
      </c>
      <c r="U2170">
        <v>82</v>
      </c>
      <c r="V2170" t="s">
        <v>267</v>
      </c>
      <c r="W2170" t="s">
        <v>267</v>
      </c>
      <c r="X2170" t="s">
        <v>224</v>
      </c>
    </row>
    <row r="2171" spans="1:24">
      <c r="A2171">
        <v>13532</v>
      </c>
      <c r="B2171" t="s">
        <v>25</v>
      </c>
      <c r="C2171" t="str">
        <f t="shared" si="68"/>
        <v>INTEGRA Hatchback</v>
      </c>
      <c r="D2171" t="str">
        <f t="shared" si="69"/>
        <v>1.5</v>
      </c>
      <c r="E2171" t="s">
        <v>1760</v>
      </c>
      <c r="F2171">
        <v>198501</v>
      </c>
      <c r="G2171">
        <v>199012</v>
      </c>
      <c r="H2171">
        <v>63</v>
      </c>
      <c r="I2171">
        <v>85</v>
      </c>
      <c r="J2171">
        <v>1488</v>
      </c>
      <c r="K2171">
        <v>1678649</v>
      </c>
      <c r="L2171" t="s">
        <v>225</v>
      </c>
      <c r="M2171" t="str">
        <f>"562016J"</f>
        <v>562016J</v>
      </c>
      <c r="N2171" t="str">
        <f>"562016J"</f>
        <v>562016J</v>
      </c>
      <c r="O2171" t="str">
        <f>"562016"</f>
        <v>562016</v>
      </c>
      <c r="P2171" t="s">
        <v>267</v>
      </c>
      <c r="Q2171" t="str">
        <f>"3306437007948"</f>
        <v>3306437007948</v>
      </c>
      <c r="R2171" t="s">
        <v>328</v>
      </c>
      <c r="S2171" t="s">
        <v>287</v>
      </c>
      <c r="T2171" s="1" t="s">
        <v>329</v>
      </c>
      <c r="U2171">
        <v>82</v>
      </c>
      <c r="V2171" t="s">
        <v>267</v>
      </c>
      <c r="W2171" t="s">
        <v>267</v>
      </c>
      <c r="X2171" t="s">
        <v>224</v>
      </c>
    </row>
    <row r="2172" spans="1:24">
      <c r="A2172">
        <v>13532</v>
      </c>
      <c r="B2172" t="s">
        <v>25</v>
      </c>
      <c r="C2172" t="str">
        <f t="shared" si="68"/>
        <v>INTEGRA Hatchback</v>
      </c>
      <c r="D2172" t="str">
        <f t="shared" si="69"/>
        <v>1.5</v>
      </c>
      <c r="E2172" t="s">
        <v>1760</v>
      </c>
      <c r="F2172">
        <v>198501</v>
      </c>
      <c r="G2172">
        <v>199012</v>
      </c>
      <c r="H2172">
        <v>63</v>
      </c>
      <c r="I2172">
        <v>85</v>
      </c>
      <c r="J2172">
        <v>1488</v>
      </c>
      <c r="K2172">
        <v>1678650</v>
      </c>
      <c r="L2172" t="s">
        <v>225</v>
      </c>
      <c r="M2172" t="str">
        <f>"562016JC"</f>
        <v>562016JC</v>
      </c>
      <c r="N2172" t="str">
        <f>"562016JC"</f>
        <v>562016JC</v>
      </c>
      <c r="O2172" t="str">
        <f>"562016J"</f>
        <v>562016J</v>
      </c>
      <c r="P2172" t="s">
        <v>267</v>
      </c>
      <c r="Q2172" t="str">
        <f>"3306437210294"</f>
        <v>3306437210294</v>
      </c>
      <c r="R2172" t="s">
        <v>330</v>
      </c>
      <c r="S2172" t="s">
        <v>287</v>
      </c>
      <c r="T2172" t="s">
        <v>331</v>
      </c>
      <c r="U2172">
        <v>82</v>
      </c>
      <c r="V2172" t="s">
        <v>267</v>
      </c>
      <c r="W2172" t="s">
        <v>267</v>
      </c>
      <c r="X2172" t="s">
        <v>224</v>
      </c>
    </row>
    <row r="2173" spans="1:24">
      <c r="A2173">
        <v>13532</v>
      </c>
      <c r="B2173" t="s">
        <v>25</v>
      </c>
      <c r="C2173" t="str">
        <f t="shared" si="68"/>
        <v>INTEGRA Hatchback</v>
      </c>
      <c r="D2173" t="str">
        <f t="shared" si="69"/>
        <v>1.5</v>
      </c>
      <c r="E2173" t="s">
        <v>1760</v>
      </c>
      <c r="F2173">
        <v>198501</v>
      </c>
      <c r="G2173">
        <v>199012</v>
      </c>
      <c r="H2173">
        <v>63</v>
      </c>
      <c r="I2173">
        <v>85</v>
      </c>
      <c r="J2173">
        <v>1488</v>
      </c>
      <c r="K2173">
        <v>1692572</v>
      </c>
      <c r="L2173" t="s">
        <v>332</v>
      </c>
      <c r="M2173" t="str">
        <f>"561383B"</f>
        <v>561383B</v>
      </c>
      <c r="N2173" t="str">
        <f>"561383B"</f>
        <v>561383B</v>
      </c>
      <c r="O2173" t="str">
        <f>"561383"</f>
        <v>561383</v>
      </c>
      <c r="P2173" t="s">
        <v>267</v>
      </c>
      <c r="Q2173" t="str">
        <f>"3306434042843"</f>
        <v>3306434042843</v>
      </c>
      <c r="R2173" t="s">
        <v>333</v>
      </c>
      <c r="S2173" t="s">
        <v>334</v>
      </c>
      <c r="T2173" s="1" t="s">
        <v>335</v>
      </c>
      <c r="U2173">
        <v>82</v>
      </c>
      <c r="V2173" t="s">
        <v>267</v>
      </c>
      <c r="W2173" t="s">
        <v>267</v>
      </c>
      <c r="X2173" t="s">
        <v>224</v>
      </c>
    </row>
    <row r="2174" spans="1:24">
      <c r="A2174">
        <v>13532</v>
      </c>
      <c r="B2174" t="s">
        <v>25</v>
      </c>
      <c r="C2174" t="str">
        <f t="shared" si="68"/>
        <v>INTEGRA Hatchback</v>
      </c>
      <c r="D2174" t="str">
        <f t="shared" si="69"/>
        <v>1.5</v>
      </c>
      <c r="E2174" t="s">
        <v>1760</v>
      </c>
      <c r="F2174">
        <v>198501</v>
      </c>
      <c r="G2174">
        <v>199012</v>
      </c>
      <c r="H2174">
        <v>63</v>
      </c>
      <c r="I2174">
        <v>85</v>
      </c>
      <c r="J2174">
        <v>1488</v>
      </c>
      <c r="K2174">
        <v>1692573</v>
      </c>
      <c r="L2174" t="s">
        <v>332</v>
      </c>
      <c r="M2174" t="str">
        <f>"561383BC"</f>
        <v>561383BC</v>
      </c>
      <c r="N2174" t="str">
        <f>"561383BC"</f>
        <v>561383BC</v>
      </c>
      <c r="O2174" t="str">
        <f>"561383B"</f>
        <v>561383B</v>
      </c>
      <c r="P2174" t="s">
        <v>267</v>
      </c>
      <c r="Q2174" t="str">
        <f>"3306437207867"</f>
        <v>3306437207867</v>
      </c>
      <c r="R2174" t="s">
        <v>336</v>
      </c>
      <c r="S2174" t="s">
        <v>334</v>
      </c>
      <c r="T2174" s="1" t="s">
        <v>335</v>
      </c>
      <c r="U2174">
        <v>82</v>
      </c>
      <c r="V2174" t="s">
        <v>267</v>
      </c>
      <c r="W2174" t="s">
        <v>267</v>
      </c>
      <c r="X2174" t="s">
        <v>224</v>
      </c>
    </row>
    <row r="2175" spans="1:24">
      <c r="A2175">
        <v>13532</v>
      </c>
      <c r="B2175" t="s">
        <v>25</v>
      </c>
      <c r="C2175" t="str">
        <f t="shared" si="68"/>
        <v>INTEGRA Hatchback</v>
      </c>
      <c r="D2175" t="str">
        <f t="shared" si="69"/>
        <v>1.5</v>
      </c>
      <c r="E2175" t="s">
        <v>1760</v>
      </c>
      <c r="F2175">
        <v>198501</v>
      </c>
      <c r="G2175">
        <v>199012</v>
      </c>
      <c r="H2175">
        <v>63</v>
      </c>
      <c r="I2175">
        <v>85</v>
      </c>
      <c r="J2175">
        <v>1488</v>
      </c>
      <c r="K2175">
        <v>1692574</v>
      </c>
      <c r="L2175" t="s">
        <v>332</v>
      </c>
      <c r="M2175" t="str">
        <f>"561384B"</f>
        <v>561384B</v>
      </c>
      <c r="N2175" t="str">
        <f>"561384B"</f>
        <v>561384B</v>
      </c>
      <c r="O2175" t="str">
        <f>"561384"</f>
        <v>561384</v>
      </c>
      <c r="P2175" t="s">
        <v>267</v>
      </c>
      <c r="Q2175" t="str">
        <f>"3306434042850"</f>
        <v>3306434042850</v>
      </c>
      <c r="R2175" t="s">
        <v>337</v>
      </c>
      <c r="S2175" t="s">
        <v>338</v>
      </c>
      <c r="T2175" s="1" t="s">
        <v>339</v>
      </c>
      <c r="U2175">
        <v>82</v>
      </c>
      <c r="V2175" t="s">
        <v>267</v>
      </c>
      <c r="W2175" t="s">
        <v>267</v>
      </c>
      <c r="X2175" t="s">
        <v>224</v>
      </c>
    </row>
    <row r="2176" spans="1:24">
      <c r="A2176">
        <v>13532</v>
      </c>
      <c r="B2176" t="s">
        <v>25</v>
      </c>
      <c r="C2176" t="str">
        <f t="shared" si="68"/>
        <v>INTEGRA Hatchback</v>
      </c>
      <c r="D2176" t="str">
        <f t="shared" si="69"/>
        <v>1.5</v>
      </c>
      <c r="E2176" t="s">
        <v>1760</v>
      </c>
      <c r="F2176">
        <v>198501</v>
      </c>
      <c r="G2176">
        <v>199012</v>
      </c>
      <c r="H2176">
        <v>63</v>
      </c>
      <c r="I2176">
        <v>85</v>
      </c>
      <c r="J2176">
        <v>1488</v>
      </c>
      <c r="K2176">
        <v>1692575</v>
      </c>
      <c r="L2176" t="s">
        <v>332</v>
      </c>
      <c r="M2176" t="str">
        <f>"561384BC"</f>
        <v>561384BC</v>
      </c>
      <c r="N2176" t="str">
        <f>"561384BC"</f>
        <v>561384BC</v>
      </c>
      <c r="O2176" t="str">
        <f>"561384B"</f>
        <v>561384B</v>
      </c>
      <c r="P2176" t="s">
        <v>267</v>
      </c>
      <c r="Q2176" t="str">
        <f>"3306437207881"</f>
        <v>3306437207881</v>
      </c>
      <c r="R2176" t="s">
        <v>340</v>
      </c>
      <c r="S2176" t="s">
        <v>338</v>
      </c>
      <c r="T2176" s="1" t="s">
        <v>339</v>
      </c>
      <c r="U2176">
        <v>82</v>
      </c>
      <c r="V2176" t="s">
        <v>267</v>
      </c>
      <c r="W2176" t="s">
        <v>267</v>
      </c>
      <c r="X2176" t="s">
        <v>224</v>
      </c>
    </row>
    <row r="2177" spans="1:24">
      <c r="A2177">
        <v>13532</v>
      </c>
      <c r="B2177" t="s">
        <v>25</v>
      </c>
      <c r="C2177" t="str">
        <f t="shared" si="68"/>
        <v>INTEGRA Hatchback</v>
      </c>
      <c r="D2177" t="str">
        <f t="shared" si="69"/>
        <v>1.5</v>
      </c>
      <c r="E2177" t="s">
        <v>1760</v>
      </c>
      <c r="F2177">
        <v>198501</v>
      </c>
      <c r="G2177">
        <v>199012</v>
      </c>
      <c r="H2177">
        <v>63</v>
      </c>
      <c r="I2177">
        <v>85</v>
      </c>
      <c r="J2177">
        <v>1488</v>
      </c>
      <c r="K2177">
        <v>1693095</v>
      </c>
      <c r="L2177" t="s">
        <v>332</v>
      </c>
      <c r="M2177" t="str">
        <f>"562016B"</f>
        <v>562016B</v>
      </c>
      <c r="N2177" t="str">
        <f>"562016B"</f>
        <v>562016B</v>
      </c>
      <c r="O2177" t="str">
        <f>"562016"</f>
        <v>562016</v>
      </c>
      <c r="P2177" t="s">
        <v>267</v>
      </c>
      <c r="Q2177" t="str">
        <f>"3306430454633"</f>
        <v>3306430454633</v>
      </c>
      <c r="R2177" t="s">
        <v>341</v>
      </c>
      <c r="S2177" t="s">
        <v>342</v>
      </c>
      <c r="T2177" s="1" t="s">
        <v>343</v>
      </c>
      <c r="U2177">
        <v>82</v>
      </c>
      <c r="V2177" t="s">
        <v>267</v>
      </c>
      <c r="W2177" t="s">
        <v>267</v>
      </c>
      <c r="X2177" t="s">
        <v>224</v>
      </c>
    </row>
    <row r="2178" spans="1:24">
      <c r="A2178">
        <v>13532</v>
      </c>
      <c r="B2178" t="s">
        <v>25</v>
      </c>
      <c r="C2178" t="str">
        <f t="shared" si="68"/>
        <v>INTEGRA Hatchback</v>
      </c>
      <c r="D2178" t="str">
        <f t="shared" si="69"/>
        <v>1.5</v>
      </c>
      <c r="E2178" t="s">
        <v>1760</v>
      </c>
      <c r="F2178">
        <v>198501</v>
      </c>
      <c r="G2178">
        <v>199012</v>
      </c>
      <c r="H2178">
        <v>63</v>
      </c>
      <c r="I2178">
        <v>85</v>
      </c>
      <c r="J2178">
        <v>1488</v>
      </c>
      <c r="K2178">
        <v>1693096</v>
      </c>
      <c r="L2178" t="s">
        <v>332</v>
      </c>
      <c r="M2178" t="str">
        <f>"562016BC"</f>
        <v>562016BC</v>
      </c>
      <c r="N2178" t="str">
        <f>"562016BC"</f>
        <v>562016BC</v>
      </c>
      <c r="O2178" t="str">
        <f>"562016B"</f>
        <v>562016B</v>
      </c>
      <c r="P2178" t="s">
        <v>267</v>
      </c>
      <c r="Q2178" t="str">
        <f>"3306437210287"</f>
        <v>3306437210287</v>
      </c>
      <c r="R2178" t="s">
        <v>344</v>
      </c>
      <c r="S2178" t="s">
        <v>342</v>
      </c>
      <c r="T2178" s="1" t="s">
        <v>343</v>
      </c>
      <c r="U2178">
        <v>82</v>
      </c>
      <c r="V2178" t="s">
        <v>267</v>
      </c>
      <c r="W2178" t="s">
        <v>267</v>
      </c>
      <c r="X2178" t="s">
        <v>224</v>
      </c>
    </row>
    <row r="2179" spans="1:24">
      <c r="A2179">
        <v>13532</v>
      </c>
      <c r="B2179" t="s">
        <v>25</v>
      </c>
      <c r="C2179" t="str">
        <f t="shared" si="68"/>
        <v>INTEGRA Hatchback</v>
      </c>
      <c r="D2179" t="str">
        <f t="shared" si="69"/>
        <v>1.5</v>
      </c>
      <c r="E2179" t="s">
        <v>1760</v>
      </c>
      <c r="F2179">
        <v>198501</v>
      </c>
      <c r="G2179">
        <v>199012</v>
      </c>
      <c r="H2179">
        <v>63</v>
      </c>
      <c r="I2179">
        <v>85</v>
      </c>
      <c r="J2179">
        <v>1488</v>
      </c>
      <c r="K2179">
        <v>1811532</v>
      </c>
      <c r="L2179" t="s">
        <v>228</v>
      </c>
      <c r="M2179" t="str">
        <f>"DDF1358"</f>
        <v>DDF1358</v>
      </c>
      <c r="N2179" t="str">
        <f>"DDF1358"</f>
        <v>DDF1358</v>
      </c>
      <c r="O2179" t="str">
        <f>""</f>
        <v/>
      </c>
      <c r="P2179" t="s">
        <v>267</v>
      </c>
      <c r="Q2179" t="str">
        <f>"4044197335213"</f>
        <v>4044197335213</v>
      </c>
      <c r="R2179" t="s">
        <v>286</v>
      </c>
      <c r="S2179" t="s">
        <v>287</v>
      </c>
      <c r="T2179" s="1" t="s">
        <v>345</v>
      </c>
      <c r="U2179">
        <v>82</v>
      </c>
      <c r="V2179" t="s">
        <v>267</v>
      </c>
      <c r="W2179" t="s">
        <v>267</v>
      </c>
      <c r="X2179" t="s">
        <v>224</v>
      </c>
    </row>
    <row r="2180" spans="1:24">
      <c r="A2180">
        <v>13532</v>
      </c>
      <c r="B2180" t="s">
        <v>25</v>
      </c>
      <c r="C2180" t="str">
        <f t="shared" si="68"/>
        <v>INTEGRA Hatchback</v>
      </c>
      <c r="D2180" t="str">
        <f t="shared" si="69"/>
        <v>1.5</v>
      </c>
      <c r="E2180" t="s">
        <v>1760</v>
      </c>
      <c r="F2180">
        <v>198501</v>
      </c>
      <c r="G2180">
        <v>199012</v>
      </c>
      <c r="H2180">
        <v>63</v>
      </c>
      <c r="I2180">
        <v>85</v>
      </c>
      <c r="J2180">
        <v>1488</v>
      </c>
      <c r="K2180">
        <v>1811533</v>
      </c>
      <c r="L2180" t="s">
        <v>228</v>
      </c>
      <c r="M2180" t="str">
        <f>"DDF13581"</f>
        <v>DDF13581</v>
      </c>
      <c r="N2180" t="str">
        <f>"DDF1358-1"</f>
        <v>DDF1358-1</v>
      </c>
      <c r="O2180" t="str">
        <f>"DDF1358"</f>
        <v>DDF1358</v>
      </c>
      <c r="P2180" t="s">
        <v>267</v>
      </c>
      <c r="Q2180" t="str">
        <f>"4044197585960"</f>
        <v>4044197585960</v>
      </c>
      <c r="R2180" t="s">
        <v>346</v>
      </c>
      <c r="S2180" t="s">
        <v>287</v>
      </c>
      <c r="T2180" s="1" t="s">
        <v>347</v>
      </c>
      <c r="U2180">
        <v>82</v>
      </c>
      <c r="V2180" t="s">
        <v>267</v>
      </c>
      <c r="W2180" t="s">
        <v>267</v>
      </c>
      <c r="X2180" t="s">
        <v>224</v>
      </c>
    </row>
    <row r="2181" spans="1:24">
      <c r="A2181">
        <v>13532</v>
      </c>
      <c r="B2181" t="s">
        <v>25</v>
      </c>
      <c r="C2181" t="str">
        <f t="shared" si="68"/>
        <v>INTEGRA Hatchback</v>
      </c>
      <c r="D2181" t="str">
        <f t="shared" si="69"/>
        <v>1.5</v>
      </c>
      <c r="E2181" t="s">
        <v>1760</v>
      </c>
      <c r="F2181">
        <v>198501</v>
      </c>
      <c r="G2181">
        <v>199012</v>
      </c>
      <c r="H2181">
        <v>63</v>
      </c>
      <c r="I2181">
        <v>85</v>
      </c>
      <c r="J2181">
        <v>1488</v>
      </c>
      <c r="K2181">
        <v>1813171</v>
      </c>
      <c r="L2181" t="s">
        <v>228</v>
      </c>
      <c r="M2181" t="str">
        <f>"DDF377"</f>
        <v>DDF377</v>
      </c>
      <c r="N2181" t="str">
        <f>"DDF377"</f>
        <v>DDF377</v>
      </c>
      <c r="O2181" t="str">
        <f>""</f>
        <v/>
      </c>
      <c r="P2181" t="s">
        <v>267</v>
      </c>
      <c r="Q2181" t="str">
        <f>"5016687137798"</f>
        <v>5016687137798</v>
      </c>
      <c r="R2181" s="1" t="s">
        <v>348</v>
      </c>
      <c r="T2181" s="1" t="s">
        <v>349</v>
      </c>
      <c r="U2181">
        <v>82</v>
      </c>
      <c r="V2181" t="s">
        <v>267</v>
      </c>
      <c r="W2181" t="s">
        <v>267</v>
      </c>
      <c r="X2181" t="s">
        <v>224</v>
      </c>
    </row>
    <row r="2182" spans="1:24">
      <c r="A2182">
        <v>13532</v>
      </c>
      <c r="B2182" t="s">
        <v>25</v>
      </c>
      <c r="C2182" t="str">
        <f t="shared" ref="C2182:C2245" si="70">"INTEGRA Hatchback"</f>
        <v>INTEGRA Hatchback</v>
      </c>
      <c r="D2182" t="str">
        <f t="shared" ref="D2182:D2245" si="71">"1.5"</f>
        <v>1.5</v>
      </c>
      <c r="E2182" t="s">
        <v>1760</v>
      </c>
      <c r="F2182">
        <v>198501</v>
      </c>
      <c r="G2182">
        <v>199012</v>
      </c>
      <c r="H2182">
        <v>63</v>
      </c>
      <c r="I2182">
        <v>85</v>
      </c>
      <c r="J2182">
        <v>1488</v>
      </c>
      <c r="K2182">
        <v>1813172</v>
      </c>
      <c r="L2182" t="s">
        <v>228</v>
      </c>
      <c r="M2182" t="str">
        <f>"DDF3771"</f>
        <v>DDF3771</v>
      </c>
      <c r="N2182" t="str">
        <f>"DDF377-1"</f>
        <v>DDF377-1</v>
      </c>
      <c r="O2182" t="str">
        <f>"DDF377"</f>
        <v>DDF377</v>
      </c>
      <c r="P2182" t="s">
        <v>267</v>
      </c>
      <c r="Q2182" t="str">
        <f>"5016687341690"</f>
        <v>5016687341690</v>
      </c>
      <c r="R2182" s="1" t="s">
        <v>350</v>
      </c>
      <c r="T2182" s="1" t="s">
        <v>351</v>
      </c>
      <c r="U2182">
        <v>82</v>
      </c>
      <c r="V2182" t="s">
        <v>267</v>
      </c>
      <c r="W2182" t="s">
        <v>267</v>
      </c>
      <c r="X2182" t="s">
        <v>224</v>
      </c>
    </row>
    <row r="2183" spans="1:24">
      <c r="A2183">
        <v>13532</v>
      </c>
      <c r="B2183" t="s">
        <v>25</v>
      </c>
      <c r="C2183" t="str">
        <f t="shared" si="70"/>
        <v>INTEGRA Hatchback</v>
      </c>
      <c r="D2183" t="str">
        <f t="shared" si="71"/>
        <v>1.5</v>
      </c>
      <c r="E2183" t="s">
        <v>1760</v>
      </c>
      <c r="F2183">
        <v>198501</v>
      </c>
      <c r="G2183">
        <v>199012</v>
      </c>
      <c r="H2183">
        <v>63</v>
      </c>
      <c r="I2183">
        <v>85</v>
      </c>
      <c r="J2183">
        <v>1488</v>
      </c>
      <c r="K2183">
        <v>1813778</v>
      </c>
      <c r="L2183" t="s">
        <v>228</v>
      </c>
      <c r="M2183" t="str">
        <f>"DDF785"</f>
        <v>DDF785</v>
      </c>
      <c r="N2183" t="str">
        <f>"DDF785"</f>
        <v>DDF785</v>
      </c>
      <c r="O2183" t="str">
        <f>""</f>
        <v/>
      </c>
      <c r="P2183" t="s">
        <v>267</v>
      </c>
      <c r="Q2183" t="str">
        <f>"5016687178593"</f>
        <v>5016687178593</v>
      </c>
      <c r="R2183" t="s">
        <v>352</v>
      </c>
      <c r="S2183" t="s">
        <v>353</v>
      </c>
      <c r="T2183" s="1" t="s">
        <v>354</v>
      </c>
      <c r="U2183">
        <v>82</v>
      </c>
      <c r="V2183" t="s">
        <v>267</v>
      </c>
      <c r="W2183" t="s">
        <v>267</v>
      </c>
      <c r="X2183" t="s">
        <v>224</v>
      </c>
    </row>
    <row r="2184" spans="1:24">
      <c r="A2184">
        <v>13532</v>
      </c>
      <c r="B2184" t="s">
        <v>25</v>
      </c>
      <c r="C2184" t="str">
        <f t="shared" si="70"/>
        <v>INTEGRA Hatchback</v>
      </c>
      <c r="D2184" t="str">
        <f t="shared" si="71"/>
        <v>1.5</v>
      </c>
      <c r="E2184" t="s">
        <v>1760</v>
      </c>
      <c r="F2184">
        <v>198501</v>
      </c>
      <c r="G2184">
        <v>199012</v>
      </c>
      <c r="H2184">
        <v>63</v>
      </c>
      <c r="I2184">
        <v>85</v>
      </c>
      <c r="J2184">
        <v>1488</v>
      </c>
      <c r="K2184">
        <v>1813779</v>
      </c>
      <c r="L2184" t="s">
        <v>228</v>
      </c>
      <c r="M2184" t="str">
        <f>"DDF7851"</f>
        <v>DDF7851</v>
      </c>
      <c r="N2184" t="str">
        <f>"DDF785-1"</f>
        <v>DDF785-1</v>
      </c>
      <c r="O2184" t="str">
        <f>"DDF785"</f>
        <v>DDF785</v>
      </c>
      <c r="P2184" t="s">
        <v>267</v>
      </c>
      <c r="Q2184" t="str">
        <f>"4044197593620"</f>
        <v>4044197593620</v>
      </c>
      <c r="R2184" t="s">
        <v>355</v>
      </c>
      <c r="S2184" t="s">
        <v>353</v>
      </c>
      <c r="T2184" s="1" t="s">
        <v>356</v>
      </c>
      <c r="U2184">
        <v>82</v>
      </c>
      <c r="V2184" t="s">
        <v>267</v>
      </c>
      <c r="W2184" t="s">
        <v>267</v>
      </c>
      <c r="X2184" t="s">
        <v>224</v>
      </c>
    </row>
    <row r="2185" spans="1:24">
      <c r="A2185">
        <v>13532</v>
      </c>
      <c r="B2185" t="s">
        <v>25</v>
      </c>
      <c r="C2185" t="str">
        <f t="shared" si="70"/>
        <v>INTEGRA Hatchback</v>
      </c>
      <c r="D2185" t="str">
        <f t="shared" si="71"/>
        <v>1.5</v>
      </c>
      <c r="E2185" t="s">
        <v>1760</v>
      </c>
      <c r="F2185">
        <v>198501</v>
      </c>
      <c r="G2185">
        <v>199012</v>
      </c>
      <c r="H2185">
        <v>63</v>
      </c>
      <c r="I2185">
        <v>85</v>
      </c>
      <c r="J2185">
        <v>1488</v>
      </c>
      <c r="K2185">
        <v>1885918</v>
      </c>
      <c r="L2185" t="s">
        <v>231</v>
      </c>
      <c r="M2185" t="str">
        <f>"09502310"</f>
        <v>09502310</v>
      </c>
      <c r="N2185" t="str">
        <f>"09.5023.10"</f>
        <v>09.5023.10</v>
      </c>
      <c r="O2185" t="str">
        <f>""</f>
        <v/>
      </c>
      <c r="P2185" t="s">
        <v>267</v>
      </c>
      <c r="Q2185" t="str">
        <f>"8020584502310"</f>
        <v>8020584502310</v>
      </c>
      <c r="R2185" s="1" t="s">
        <v>357</v>
      </c>
      <c r="S2185" t="s">
        <v>310</v>
      </c>
      <c r="T2185" s="1" t="s">
        <v>358</v>
      </c>
      <c r="U2185">
        <v>82</v>
      </c>
      <c r="V2185" t="s">
        <v>267</v>
      </c>
      <c r="W2185" t="s">
        <v>267</v>
      </c>
      <c r="X2185" t="s">
        <v>224</v>
      </c>
    </row>
    <row r="2186" spans="1:24">
      <c r="A2186">
        <v>13532</v>
      </c>
      <c r="B2186" t="s">
        <v>25</v>
      </c>
      <c r="C2186" t="str">
        <f t="shared" si="70"/>
        <v>INTEGRA Hatchback</v>
      </c>
      <c r="D2186" t="str">
        <f t="shared" si="71"/>
        <v>1.5</v>
      </c>
      <c r="E2186" t="s">
        <v>1760</v>
      </c>
      <c r="F2186">
        <v>198501</v>
      </c>
      <c r="G2186">
        <v>199012</v>
      </c>
      <c r="H2186">
        <v>63</v>
      </c>
      <c r="I2186">
        <v>85</v>
      </c>
      <c r="J2186">
        <v>1488</v>
      </c>
      <c r="K2186">
        <v>2107057</v>
      </c>
      <c r="L2186" t="s">
        <v>95</v>
      </c>
      <c r="M2186" t="str">
        <f>"353611927240"</f>
        <v>353611927240</v>
      </c>
      <c r="N2186" t="str">
        <f>"353611927240"</f>
        <v>353611927240</v>
      </c>
      <c r="O2186" t="str">
        <f>"119272.4"</f>
        <v>119272.4</v>
      </c>
      <c r="P2186" t="s">
        <v>267</v>
      </c>
      <c r="Q2186" t="str">
        <f>"8001063414041"</f>
        <v>8001063414041</v>
      </c>
      <c r="R2186" t="s">
        <v>359</v>
      </c>
      <c r="S2186" t="s">
        <v>360</v>
      </c>
      <c r="T2186" s="1" t="s">
        <v>361</v>
      </c>
      <c r="U2186">
        <v>82</v>
      </c>
      <c r="V2186" t="s">
        <v>267</v>
      </c>
      <c r="W2186" t="s">
        <v>267</v>
      </c>
      <c r="X2186" t="s">
        <v>224</v>
      </c>
    </row>
    <row r="2187" spans="1:24">
      <c r="A2187">
        <v>13532</v>
      </c>
      <c r="B2187" t="s">
        <v>25</v>
      </c>
      <c r="C2187" t="str">
        <f t="shared" si="70"/>
        <v>INTEGRA Hatchback</v>
      </c>
      <c r="D2187" t="str">
        <f t="shared" si="71"/>
        <v>1.5</v>
      </c>
      <c r="E2187" t="s">
        <v>1760</v>
      </c>
      <c r="F2187">
        <v>198501</v>
      </c>
      <c r="G2187">
        <v>199012</v>
      </c>
      <c r="H2187">
        <v>63</v>
      </c>
      <c r="I2187">
        <v>85</v>
      </c>
      <c r="J2187">
        <v>1488</v>
      </c>
      <c r="K2187">
        <v>2110691</v>
      </c>
      <c r="L2187" t="s">
        <v>95</v>
      </c>
      <c r="M2187" t="str">
        <f>"360406027700"</f>
        <v>360406027700</v>
      </c>
      <c r="N2187" t="str">
        <f>"360406027700"</f>
        <v>360406027700</v>
      </c>
      <c r="O2187" t="str">
        <f>"DF0277"</f>
        <v>DF0277</v>
      </c>
      <c r="P2187" t="s">
        <v>267</v>
      </c>
      <c r="Q2187" t="str">
        <f>"8001063561134"</f>
        <v>8001063561134</v>
      </c>
      <c r="R2187" t="s">
        <v>362</v>
      </c>
      <c r="S2187" t="s">
        <v>360</v>
      </c>
      <c r="T2187" s="1" t="s">
        <v>363</v>
      </c>
      <c r="U2187">
        <v>82</v>
      </c>
      <c r="V2187" t="s">
        <v>267</v>
      </c>
      <c r="W2187" t="s">
        <v>267</v>
      </c>
      <c r="X2187" t="s">
        <v>224</v>
      </c>
    </row>
    <row r="2188" spans="1:24">
      <c r="A2188">
        <v>13532</v>
      </c>
      <c r="B2188" t="s">
        <v>25</v>
      </c>
      <c r="C2188" t="str">
        <f t="shared" si="70"/>
        <v>INTEGRA Hatchback</v>
      </c>
      <c r="D2188" t="str">
        <f t="shared" si="71"/>
        <v>1.5</v>
      </c>
      <c r="E2188" t="s">
        <v>1760</v>
      </c>
      <c r="F2188">
        <v>198501</v>
      </c>
      <c r="G2188">
        <v>199012</v>
      </c>
      <c r="H2188">
        <v>63</v>
      </c>
      <c r="I2188">
        <v>85</v>
      </c>
      <c r="J2188">
        <v>1488</v>
      </c>
      <c r="K2188">
        <v>2358368</v>
      </c>
      <c r="L2188" t="s">
        <v>364</v>
      </c>
      <c r="M2188" t="str">
        <f>"BS0830"</f>
        <v>BS0830</v>
      </c>
      <c r="N2188" t="str">
        <f>"BS-0830"</f>
        <v>BS-0830</v>
      </c>
      <c r="O2188" t="str">
        <f>""</f>
        <v/>
      </c>
      <c r="P2188" t="s">
        <v>267</v>
      </c>
      <c r="Q2188" t="str">
        <f>"4031185105064"</f>
        <v>4031185105064</v>
      </c>
      <c r="R2188" t="s">
        <v>365</v>
      </c>
      <c r="S2188" t="s">
        <v>366</v>
      </c>
      <c r="T2188" s="1" t="s">
        <v>367</v>
      </c>
      <c r="U2188">
        <v>82</v>
      </c>
      <c r="V2188" t="s">
        <v>267</v>
      </c>
      <c r="W2188" t="s">
        <v>267</v>
      </c>
      <c r="X2188" t="s">
        <v>224</v>
      </c>
    </row>
    <row r="2189" spans="1:24">
      <c r="A2189">
        <v>13532</v>
      </c>
      <c r="B2189" t="s">
        <v>25</v>
      </c>
      <c r="C2189" t="str">
        <f t="shared" si="70"/>
        <v>INTEGRA Hatchback</v>
      </c>
      <c r="D2189" t="str">
        <f t="shared" si="71"/>
        <v>1.5</v>
      </c>
      <c r="E2189" t="s">
        <v>1760</v>
      </c>
      <c r="F2189">
        <v>198501</v>
      </c>
      <c r="G2189">
        <v>199012</v>
      </c>
      <c r="H2189">
        <v>63</v>
      </c>
      <c r="I2189">
        <v>85</v>
      </c>
      <c r="J2189">
        <v>1488</v>
      </c>
      <c r="K2189">
        <v>2358628</v>
      </c>
      <c r="L2189" t="s">
        <v>364</v>
      </c>
      <c r="M2189" t="str">
        <f>"BS3690"</f>
        <v>BS3690</v>
      </c>
      <c r="N2189" t="str">
        <f>"BS-3690"</f>
        <v>BS-3690</v>
      </c>
      <c r="O2189" t="str">
        <f>""</f>
        <v/>
      </c>
      <c r="P2189" t="s">
        <v>267</v>
      </c>
      <c r="Q2189" t="str">
        <f>"4031185106467"</f>
        <v>4031185106467</v>
      </c>
      <c r="R2189" t="s">
        <v>368</v>
      </c>
      <c r="S2189" t="s">
        <v>369</v>
      </c>
      <c r="T2189" s="1" t="s">
        <v>370</v>
      </c>
      <c r="U2189">
        <v>82</v>
      </c>
      <c r="V2189" t="s">
        <v>267</v>
      </c>
      <c r="W2189" t="s">
        <v>267</v>
      </c>
      <c r="X2189" t="s">
        <v>224</v>
      </c>
    </row>
    <row r="2190" spans="1:24">
      <c r="A2190">
        <v>13532</v>
      </c>
      <c r="B2190" t="s">
        <v>25</v>
      </c>
      <c r="C2190" t="str">
        <f t="shared" si="70"/>
        <v>INTEGRA Hatchback</v>
      </c>
      <c r="D2190" t="str">
        <f t="shared" si="71"/>
        <v>1.5</v>
      </c>
      <c r="E2190" t="s">
        <v>1760</v>
      </c>
      <c r="F2190">
        <v>198501</v>
      </c>
      <c r="G2190">
        <v>199012</v>
      </c>
      <c r="H2190">
        <v>63</v>
      </c>
      <c r="I2190">
        <v>85</v>
      </c>
      <c r="J2190">
        <v>1488</v>
      </c>
      <c r="K2190">
        <v>2548503</v>
      </c>
      <c r="L2190" t="s">
        <v>371</v>
      </c>
      <c r="M2190" t="str">
        <f>"636910"</f>
        <v>636910</v>
      </c>
      <c r="N2190" t="str">
        <f>"6369.10"</f>
        <v>6369.10</v>
      </c>
      <c r="O2190" t="str">
        <f>"DSX636910"</f>
        <v>DSX636910</v>
      </c>
      <c r="P2190" t="s">
        <v>267</v>
      </c>
      <c r="Q2190" t="str">
        <f>"8427975403292"</f>
        <v>8427975403292</v>
      </c>
      <c r="R2190" t="s">
        <v>372</v>
      </c>
      <c r="T2190" s="1" t="s">
        <v>373</v>
      </c>
      <c r="U2190">
        <v>82</v>
      </c>
      <c r="V2190" t="s">
        <v>267</v>
      </c>
      <c r="W2190" t="s">
        <v>267</v>
      </c>
      <c r="X2190" t="s">
        <v>224</v>
      </c>
    </row>
    <row r="2191" spans="1:24">
      <c r="A2191">
        <v>13532</v>
      </c>
      <c r="B2191" t="s">
        <v>25</v>
      </c>
      <c r="C2191" t="str">
        <f t="shared" si="70"/>
        <v>INTEGRA Hatchback</v>
      </c>
      <c r="D2191" t="str">
        <f t="shared" si="71"/>
        <v>1.5</v>
      </c>
      <c r="E2191" t="s">
        <v>1760</v>
      </c>
      <c r="F2191">
        <v>198501</v>
      </c>
      <c r="G2191">
        <v>199012</v>
      </c>
      <c r="H2191">
        <v>63</v>
      </c>
      <c r="I2191">
        <v>85</v>
      </c>
      <c r="J2191">
        <v>1488</v>
      </c>
      <c r="K2191">
        <v>2553925</v>
      </c>
      <c r="L2191" t="s">
        <v>374</v>
      </c>
      <c r="M2191" t="str">
        <f>"636910"</f>
        <v>636910</v>
      </c>
      <c r="N2191" t="str">
        <f>"6369.10"</f>
        <v>6369.10</v>
      </c>
      <c r="O2191" t="str">
        <f>"DCA636910"</f>
        <v>DCA636910</v>
      </c>
      <c r="P2191" t="s">
        <v>267</v>
      </c>
      <c r="Q2191" t="str">
        <f>"8427975153296"</f>
        <v>8427975153296</v>
      </c>
      <c r="R2191" t="s">
        <v>375</v>
      </c>
      <c r="T2191" s="1" t="s">
        <v>376</v>
      </c>
      <c r="U2191">
        <v>82</v>
      </c>
      <c r="V2191" t="s">
        <v>267</v>
      </c>
      <c r="W2191" t="s">
        <v>267</v>
      </c>
      <c r="X2191" t="s">
        <v>224</v>
      </c>
    </row>
    <row r="2192" spans="1:24">
      <c r="A2192">
        <v>13532</v>
      </c>
      <c r="B2192" t="s">
        <v>25</v>
      </c>
      <c r="C2192" t="str">
        <f t="shared" si="70"/>
        <v>INTEGRA Hatchback</v>
      </c>
      <c r="D2192" t="str">
        <f t="shared" si="71"/>
        <v>1.5</v>
      </c>
      <c r="E2192" t="s">
        <v>1760</v>
      </c>
      <c r="F2192">
        <v>198501</v>
      </c>
      <c r="G2192">
        <v>199012</v>
      </c>
      <c r="H2192">
        <v>63</v>
      </c>
      <c r="I2192">
        <v>85</v>
      </c>
      <c r="J2192">
        <v>1488</v>
      </c>
      <c r="K2192">
        <v>2602242</v>
      </c>
      <c r="L2192" t="s">
        <v>377</v>
      </c>
      <c r="M2192" t="str">
        <f>"DF1963"</f>
        <v>DF1963</v>
      </c>
      <c r="N2192" t="str">
        <f>"DF1963"</f>
        <v>DF1963</v>
      </c>
      <c r="O2192" t="str">
        <f>""</f>
        <v/>
      </c>
      <c r="P2192" t="s">
        <v>267</v>
      </c>
      <c r="Q2192" t="str">
        <f>"3322936196303"</f>
        <v>3322936196303</v>
      </c>
      <c r="R2192" s="1" t="s">
        <v>378</v>
      </c>
      <c r="S2192" t="s">
        <v>316</v>
      </c>
      <c r="T2192" s="1" t="s">
        <v>379</v>
      </c>
      <c r="U2192">
        <v>82</v>
      </c>
      <c r="V2192" t="s">
        <v>267</v>
      </c>
      <c r="W2192" t="s">
        <v>267</v>
      </c>
      <c r="X2192" t="s">
        <v>224</v>
      </c>
    </row>
    <row r="2193" spans="1:24">
      <c r="A2193">
        <v>13532</v>
      </c>
      <c r="B2193" t="s">
        <v>25</v>
      </c>
      <c r="C2193" t="str">
        <f t="shared" si="70"/>
        <v>INTEGRA Hatchback</v>
      </c>
      <c r="D2193" t="str">
        <f t="shared" si="71"/>
        <v>1.5</v>
      </c>
      <c r="E2193" t="s">
        <v>1760</v>
      </c>
      <c r="F2193">
        <v>198501</v>
      </c>
      <c r="G2193">
        <v>199012</v>
      </c>
      <c r="H2193">
        <v>63</v>
      </c>
      <c r="I2193">
        <v>85</v>
      </c>
      <c r="J2193">
        <v>1488</v>
      </c>
      <c r="K2193">
        <v>2602543</v>
      </c>
      <c r="L2193" t="s">
        <v>377</v>
      </c>
      <c r="M2193" t="str">
        <f>"DF4004"</f>
        <v>DF4004</v>
      </c>
      <c r="N2193" t="str">
        <f>"DF4004"</f>
        <v>DF4004</v>
      </c>
      <c r="O2193" t="str">
        <f>""</f>
        <v/>
      </c>
      <c r="P2193" t="s">
        <v>267</v>
      </c>
      <c r="Q2193" t="str">
        <f>"3322937200566"</f>
        <v>3322937200566</v>
      </c>
      <c r="R2193" t="s">
        <v>380</v>
      </c>
      <c r="S2193" t="s">
        <v>334</v>
      </c>
      <c r="T2193" s="1" t="s">
        <v>381</v>
      </c>
      <c r="U2193">
        <v>82</v>
      </c>
      <c r="V2193" t="s">
        <v>267</v>
      </c>
      <c r="W2193" t="s">
        <v>267</v>
      </c>
      <c r="X2193" t="s">
        <v>224</v>
      </c>
    </row>
    <row r="2194" spans="1:24">
      <c r="A2194">
        <v>13532</v>
      </c>
      <c r="B2194" t="s">
        <v>25</v>
      </c>
      <c r="C2194" t="str">
        <f t="shared" si="70"/>
        <v>INTEGRA Hatchback</v>
      </c>
      <c r="D2194" t="str">
        <f t="shared" si="71"/>
        <v>1.5</v>
      </c>
      <c r="E2194" t="s">
        <v>1760</v>
      </c>
      <c r="F2194">
        <v>198501</v>
      </c>
      <c r="G2194">
        <v>199012</v>
      </c>
      <c r="H2194">
        <v>63</v>
      </c>
      <c r="I2194">
        <v>85</v>
      </c>
      <c r="J2194">
        <v>1488</v>
      </c>
      <c r="K2194">
        <v>2602706</v>
      </c>
      <c r="L2194" t="s">
        <v>377</v>
      </c>
      <c r="M2194" t="str">
        <f>"DF4191"</f>
        <v>DF4191</v>
      </c>
      <c r="N2194" t="str">
        <f>"DF4191"</f>
        <v>DF4191</v>
      </c>
      <c r="O2194" t="str">
        <f>""</f>
        <v/>
      </c>
      <c r="P2194" t="s">
        <v>267</v>
      </c>
      <c r="Q2194" t="str">
        <f>"3322937320899"</f>
        <v>3322937320899</v>
      </c>
      <c r="R2194" s="1" t="s">
        <v>382</v>
      </c>
      <c r="S2194" t="s">
        <v>342</v>
      </c>
      <c r="T2194" s="1" t="s">
        <v>383</v>
      </c>
      <c r="U2194">
        <v>82</v>
      </c>
      <c r="V2194" t="s">
        <v>267</v>
      </c>
      <c r="W2194" t="s">
        <v>267</v>
      </c>
      <c r="X2194" t="s">
        <v>224</v>
      </c>
    </row>
    <row r="2195" spans="1:24">
      <c r="A2195">
        <v>13532</v>
      </c>
      <c r="B2195" t="s">
        <v>25</v>
      </c>
      <c r="C2195" t="str">
        <f t="shared" si="70"/>
        <v>INTEGRA Hatchback</v>
      </c>
      <c r="D2195" t="str">
        <f t="shared" si="71"/>
        <v>1.5</v>
      </c>
      <c r="E2195" t="s">
        <v>1760</v>
      </c>
      <c r="F2195">
        <v>198501</v>
      </c>
      <c r="G2195">
        <v>199012</v>
      </c>
      <c r="H2195">
        <v>63</v>
      </c>
      <c r="I2195">
        <v>85</v>
      </c>
      <c r="J2195">
        <v>1488</v>
      </c>
      <c r="K2195">
        <v>2740628</v>
      </c>
      <c r="L2195" t="s">
        <v>384</v>
      </c>
      <c r="M2195" t="str">
        <f>"NBD059"</f>
        <v>NBD059</v>
      </c>
      <c r="N2195" t="str">
        <f>"NBD059"</f>
        <v>NBD059</v>
      </c>
      <c r="O2195" t="str">
        <f>""</f>
        <v/>
      </c>
      <c r="P2195" t="s">
        <v>267</v>
      </c>
      <c r="Q2195" t="str">
        <f>""</f>
        <v/>
      </c>
      <c r="R2195" t="s">
        <v>1324</v>
      </c>
      <c r="S2195" t="s">
        <v>1322</v>
      </c>
      <c r="T2195" s="1" t="s">
        <v>1325</v>
      </c>
      <c r="U2195">
        <v>82</v>
      </c>
      <c r="V2195" t="s">
        <v>267</v>
      </c>
      <c r="W2195" t="s">
        <v>267</v>
      </c>
      <c r="X2195" t="s">
        <v>224</v>
      </c>
    </row>
    <row r="2196" spans="1:24">
      <c r="A2196">
        <v>13532</v>
      </c>
      <c r="B2196" t="s">
        <v>25</v>
      </c>
      <c r="C2196" t="str">
        <f t="shared" si="70"/>
        <v>INTEGRA Hatchback</v>
      </c>
      <c r="D2196" t="str">
        <f t="shared" si="71"/>
        <v>1.5</v>
      </c>
      <c r="E2196" t="s">
        <v>1760</v>
      </c>
      <c r="F2196">
        <v>198501</v>
      </c>
      <c r="G2196">
        <v>199012</v>
      </c>
      <c r="H2196">
        <v>63</v>
      </c>
      <c r="I2196">
        <v>85</v>
      </c>
      <c r="J2196">
        <v>1488</v>
      </c>
      <c r="K2196">
        <v>2741236</v>
      </c>
      <c r="L2196" t="s">
        <v>384</v>
      </c>
      <c r="M2196" t="str">
        <f>"NBD170"</f>
        <v>NBD170</v>
      </c>
      <c r="N2196" t="str">
        <f>"NBD170"</f>
        <v>NBD170</v>
      </c>
      <c r="O2196" t="str">
        <f>""</f>
        <v/>
      </c>
      <c r="P2196" t="s">
        <v>267</v>
      </c>
      <c r="Q2196" t="str">
        <f>""</f>
        <v/>
      </c>
      <c r="R2196" t="s">
        <v>385</v>
      </c>
      <c r="S2196" t="s">
        <v>296</v>
      </c>
      <c r="T2196" s="1" t="s">
        <v>386</v>
      </c>
      <c r="U2196">
        <v>82</v>
      </c>
      <c r="V2196" t="s">
        <v>267</v>
      </c>
      <c r="W2196" t="s">
        <v>267</v>
      </c>
      <c r="X2196" t="s">
        <v>224</v>
      </c>
    </row>
    <row r="2197" spans="1:24">
      <c r="A2197">
        <v>13532</v>
      </c>
      <c r="B2197" t="s">
        <v>25</v>
      </c>
      <c r="C2197" t="str">
        <f t="shared" si="70"/>
        <v>INTEGRA Hatchback</v>
      </c>
      <c r="D2197" t="str">
        <f t="shared" si="71"/>
        <v>1.5</v>
      </c>
      <c r="E2197" t="s">
        <v>1760</v>
      </c>
      <c r="F2197">
        <v>198501</v>
      </c>
      <c r="G2197">
        <v>199012</v>
      </c>
      <c r="H2197">
        <v>63</v>
      </c>
      <c r="I2197">
        <v>85</v>
      </c>
      <c r="J2197">
        <v>1488</v>
      </c>
      <c r="K2197">
        <v>2993285</v>
      </c>
      <c r="L2197" t="s">
        <v>242</v>
      </c>
      <c r="M2197" t="str">
        <f>"WN1331"</f>
        <v>WN1331</v>
      </c>
      <c r="N2197" t="str">
        <f>"WN1331"</f>
        <v>WN1331</v>
      </c>
      <c r="O2197" t="str">
        <f>""</f>
        <v/>
      </c>
      <c r="P2197" t="s">
        <v>267</v>
      </c>
      <c r="Q2197" t="str">
        <f>"4044197405947"</f>
        <v>4044197405947</v>
      </c>
      <c r="R2197" t="s">
        <v>387</v>
      </c>
      <c r="S2197" t="s">
        <v>287</v>
      </c>
      <c r="T2197" s="1" t="s">
        <v>388</v>
      </c>
      <c r="U2197">
        <v>82</v>
      </c>
      <c r="V2197" t="s">
        <v>267</v>
      </c>
      <c r="W2197" t="s">
        <v>267</v>
      </c>
      <c r="X2197" t="s">
        <v>224</v>
      </c>
    </row>
    <row r="2198" spans="1:24">
      <c r="A2198">
        <v>13532</v>
      </c>
      <c r="B2198" t="s">
        <v>25</v>
      </c>
      <c r="C2198" t="str">
        <f t="shared" si="70"/>
        <v>INTEGRA Hatchback</v>
      </c>
      <c r="D2198" t="str">
        <f t="shared" si="71"/>
        <v>1.5</v>
      </c>
      <c r="E2198" t="s">
        <v>1760</v>
      </c>
      <c r="F2198">
        <v>198501</v>
      </c>
      <c r="G2198">
        <v>199012</v>
      </c>
      <c r="H2198">
        <v>63</v>
      </c>
      <c r="I2198">
        <v>85</v>
      </c>
      <c r="J2198">
        <v>1488</v>
      </c>
      <c r="K2198">
        <v>2993721</v>
      </c>
      <c r="L2198" t="s">
        <v>242</v>
      </c>
      <c r="M2198" t="str">
        <f>"WN664"</f>
        <v>WN664</v>
      </c>
      <c r="N2198" t="str">
        <f>"WN664"</f>
        <v>WN664</v>
      </c>
      <c r="O2198" t="str">
        <f>""</f>
        <v/>
      </c>
      <c r="P2198" t="s">
        <v>267</v>
      </c>
      <c r="Q2198" t="str">
        <f>"8426345511698"</f>
        <v>8426345511698</v>
      </c>
      <c r="R2198" s="1" t="s">
        <v>348</v>
      </c>
      <c r="T2198" s="1" t="s">
        <v>389</v>
      </c>
      <c r="U2198">
        <v>82</v>
      </c>
      <c r="V2198" t="s">
        <v>267</v>
      </c>
      <c r="W2198" t="s">
        <v>267</v>
      </c>
      <c r="X2198" t="s">
        <v>224</v>
      </c>
    </row>
    <row r="2199" spans="1:24">
      <c r="A2199">
        <v>13532</v>
      </c>
      <c r="B2199" t="s">
        <v>25</v>
      </c>
      <c r="C2199" t="str">
        <f t="shared" si="70"/>
        <v>INTEGRA Hatchback</v>
      </c>
      <c r="D2199" t="str">
        <f t="shared" si="71"/>
        <v>1.5</v>
      </c>
      <c r="E2199" t="s">
        <v>1760</v>
      </c>
      <c r="F2199">
        <v>198501</v>
      </c>
      <c r="G2199">
        <v>199012</v>
      </c>
      <c r="H2199">
        <v>63</v>
      </c>
      <c r="I2199">
        <v>85</v>
      </c>
      <c r="J2199">
        <v>1488</v>
      </c>
      <c r="K2199">
        <v>2995292</v>
      </c>
      <c r="L2199" t="s">
        <v>51</v>
      </c>
      <c r="M2199" t="str">
        <f>"142916"</f>
        <v>142916</v>
      </c>
      <c r="N2199" t="str">
        <f>"142.916"</f>
        <v>142.916</v>
      </c>
      <c r="O2199" t="str">
        <f>"ref. IB: HO 14 1V"</f>
        <v>ref. IB: HO 14 1V</v>
      </c>
      <c r="P2199" t="s">
        <v>267</v>
      </c>
      <c r="Q2199" t="str">
        <f>"8029172016901"</f>
        <v>8029172016901</v>
      </c>
      <c r="R2199" t="s">
        <v>390</v>
      </c>
      <c r="S2199" t="s">
        <v>292</v>
      </c>
      <c r="T2199" s="1" t="s">
        <v>293</v>
      </c>
      <c r="U2199">
        <v>82</v>
      </c>
      <c r="V2199" t="s">
        <v>267</v>
      </c>
      <c r="W2199" t="s">
        <v>267</v>
      </c>
      <c r="X2199" t="s">
        <v>224</v>
      </c>
    </row>
    <row r="2200" spans="1:24">
      <c r="A2200">
        <v>13532</v>
      </c>
      <c r="B2200" t="s">
        <v>25</v>
      </c>
      <c r="C2200" t="str">
        <f t="shared" si="70"/>
        <v>INTEGRA Hatchback</v>
      </c>
      <c r="D2200" t="str">
        <f t="shared" si="71"/>
        <v>1.5</v>
      </c>
      <c r="E2200" t="s">
        <v>1760</v>
      </c>
      <c r="F2200">
        <v>198501</v>
      </c>
      <c r="G2200">
        <v>199012</v>
      </c>
      <c r="H2200">
        <v>63</v>
      </c>
      <c r="I2200">
        <v>85</v>
      </c>
      <c r="J2200">
        <v>1488</v>
      </c>
      <c r="K2200">
        <v>3030120</v>
      </c>
      <c r="L2200" t="s">
        <v>33</v>
      </c>
      <c r="M2200" t="str">
        <f>"J3304019"</f>
        <v>J3304019</v>
      </c>
      <c r="N2200" t="str">
        <f>"J3304019"</f>
        <v>J3304019</v>
      </c>
      <c r="O2200" t="str">
        <f>""</f>
        <v/>
      </c>
      <c r="P2200" t="s">
        <v>267</v>
      </c>
      <c r="Q2200" t="str">
        <f>"8711768052010"</f>
        <v>8711768052010</v>
      </c>
      <c r="R2200" t="s">
        <v>391</v>
      </c>
      <c r="S2200" t="s">
        <v>392</v>
      </c>
      <c r="T2200" s="1" t="s">
        <v>393</v>
      </c>
      <c r="U2200">
        <v>82</v>
      </c>
      <c r="V2200" t="s">
        <v>267</v>
      </c>
      <c r="W2200" t="s">
        <v>267</v>
      </c>
      <c r="X2200" t="s">
        <v>224</v>
      </c>
    </row>
    <row r="2201" spans="1:24">
      <c r="A2201">
        <v>13532</v>
      </c>
      <c r="B2201" t="s">
        <v>25</v>
      </c>
      <c r="C2201" t="str">
        <f t="shared" si="70"/>
        <v>INTEGRA Hatchback</v>
      </c>
      <c r="D2201" t="str">
        <f t="shared" si="71"/>
        <v>1.5</v>
      </c>
      <c r="E2201" t="s">
        <v>1760</v>
      </c>
      <c r="F2201">
        <v>198501</v>
      </c>
      <c r="G2201">
        <v>199012</v>
      </c>
      <c r="H2201">
        <v>63</v>
      </c>
      <c r="I2201">
        <v>85</v>
      </c>
      <c r="J2201">
        <v>1488</v>
      </c>
      <c r="K2201">
        <v>3030330</v>
      </c>
      <c r="L2201" t="s">
        <v>33</v>
      </c>
      <c r="M2201" t="str">
        <f>"J3314003"</f>
        <v>J3314003</v>
      </c>
      <c r="N2201" t="str">
        <f>"J3314003"</f>
        <v>J3314003</v>
      </c>
      <c r="O2201" t="str">
        <f>""</f>
        <v/>
      </c>
      <c r="P2201" t="s">
        <v>267</v>
      </c>
      <c r="Q2201" t="str">
        <f>"8711768053659"</f>
        <v>8711768053659</v>
      </c>
      <c r="R2201" t="s">
        <v>1326</v>
      </c>
      <c r="S2201" t="s">
        <v>1327</v>
      </c>
      <c r="T2201" s="1" t="s">
        <v>1328</v>
      </c>
      <c r="U2201">
        <v>82</v>
      </c>
      <c r="V2201" t="s">
        <v>267</v>
      </c>
      <c r="W2201" t="s">
        <v>267</v>
      </c>
      <c r="X2201" t="s">
        <v>224</v>
      </c>
    </row>
    <row r="2202" spans="1:24">
      <c r="A2202">
        <v>13532</v>
      </c>
      <c r="B2202" t="s">
        <v>25</v>
      </c>
      <c r="C2202" t="str">
        <f t="shared" si="70"/>
        <v>INTEGRA Hatchback</v>
      </c>
      <c r="D2202" t="str">
        <f t="shared" si="71"/>
        <v>1.5</v>
      </c>
      <c r="E2202" t="s">
        <v>1760</v>
      </c>
      <c r="F2202">
        <v>198501</v>
      </c>
      <c r="G2202">
        <v>199012</v>
      </c>
      <c r="H2202">
        <v>63</v>
      </c>
      <c r="I2202">
        <v>85</v>
      </c>
      <c r="J2202">
        <v>1488</v>
      </c>
      <c r="K2202">
        <v>3203549</v>
      </c>
      <c r="L2202" t="s">
        <v>394</v>
      </c>
      <c r="M2202" t="str">
        <f>"TB215304"</f>
        <v>TB215304</v>
      </c>
      <c r="N2202" t="str">
        <f>"TB215304"</f>
        <v>TB215304</v>
      </c>
      <c r="O2202" t="str">
        <f>""</f>
        <v/>
      </c>
      <c r="P2202" t="s">
        <v>267</v>
      </c>
      <c r="Q2202" t="str">
        <f>""</f>
        <v/>
      </c>
      <c r="R2202" t="s">
        <v>395</v>
      </c>
      <c r="T2202" t="s">
        <v>396</v>
      </c>
      <c r="U2202">
        <v>82</v>
      </c>
      <c r="V2202" t="s">
        <v>267</v>
      </c>
      <c r="W2202" t="s">
        <v>267</v>
      </c>
      <c r="X2202" t="s">
        <v>224</v>
      </c>
    </row>
    <row r="2203" spans="1:24">
      <c r="A2203">
        <v>13532</v>
      </c>
      <c r="B2203" t="s">
        <v>25</v>
      </c>
      <c r="C2203" t="str">
        <f t="shared" si="70"/>
        <v>INTEGRA Hatchback</v>
      </c>
      <c r="D2203" t="str">
        <f t="shared" si="71"/>
        <v>1.5</v>
      </c>
      <c r="E2203" t="s">
        <v>1760</v>
      </c>
      <c r="F2203">
        <v>198501</v>
      </c>
      <c r="G2203">
        <v>199012</v>
      </c>
      <c r="H2203">
        <v>63</v>
      </c>
      <c r="I2203">
        <v>85</v>
      </c>
      <c r="J2203">
        <v>1488</v>
      </c>
      <c r="K2203">
        <v>3203823</v>
      </c>
      <c r="L2203" t="s">
        <v>394</v>
      </c>
      <c r="M2203" t="str">
        <f>"TB217305"</f>
        <v>TB217305</v>
      </c>
      <c r="N2203" t="str">
        <f>"TB217305"</f>
        <v>TB217305</v>
      </c>
      <c r="O2203" t="str">
        <f>""</f>
        <v/>
      </c>
      <c r="P2203" t="s">
        <v>267</v>
      </c>
      <c r="Q2203" t="str">
        <f>""</f>
        <v/>
      </c>
      <c r="R2203" t="s">
        <v>397</v>
      </c>
      <c r="T2203" t="s">
        <v>398</v>
      </c>
      <c r="U2203">
        <v>82</v>
      </c>
      <c r="V2203" t="s">
        <v>267</v>
      </c>
      <c r="W2203" t="s">
        <v>267</v>
      </c>
      <c r="X2203" t="s">
        <v>224</v>
      </c>
    </row>
    <row r="2204" spans="1:24">
      <c r="A2204">
        <v>13532</v>
      </c>
      <c r="B2204" t="s">
        <v>25</v>
      </c>
      <c r="C2204" t="str">
        <f t="shared" si="70"/>
        <v>INTEGRA Hatchback</v>
      </c>
      <c r="D2204" t="str">
        <f t="shared" si="71"/>
        <v>1.5</v>
      </c>
      <c r="E2204" t="s">
        <v>1760</v>
      </c>
      <c r="F2204">
        <v>198501</v>
      </c>
      <c r="G2204">
        <v>199012</v>
      </c>
      <c r="H2204">
        <v>63</v>
      </c>
      <c r="I2204">
        <v>85</v>
      </c>
      <c r="J2204">
        <v>1488</v>
      </c>
      <c r="K2204">
        <v>3203826</v>
      </c>
      <c r="L2204" t="s">
        <v>394</v>
      </c>
      <c r="M2204" t="str">
        <f>"TB217311"</f>
        <v>TB217311</v>
      </c>
      <c r="N2204" t="str">
        <f>"TB217311"</f>
        <v>TB217311</v>
      </c>
      <c r="O2204" t="str">
        <f>""</f>
        <v/>
      </c>
      <c r="P2204" t="s">
        <v>267</v>
      </c>
      <c r="Q2204" t="str">
        <f>""</f>
        <v/>
      </c>
      <c r="R2204" t="s">
        <v>399</v>
      </c>
      <c r="T2204" t="s">
        <v>400</v>
      </c>
      <c r="U2204">
        <v>82</v>
      </c>
      <c r="V2204" t="s">
        <v>267</v>
      </c>
      <c r="W2204" t="s">
        <v>267</v>
      </c>
      <c r="X2204" t="s">
        <v>224</v>
      </c>
    </row>
    <row r="2205" spans="1:24">
      <c r="A2205">
        <v>13532</v>
      </c>
      <c r="B2205" t="s">
        <v>25</v>
      </c>
      <c r="C2205" t="str">
        <f t="shared" si="70"/>
        <v>INTEGRA Hatchback</v>
      </c>
      <c r="D2205" t="str">
        <f t="shared" si="71"/>
        <v>1.5</v>
      </c>
      <c r="E2205" t="s">
        <v>1760</v>
      </c>
      <c r="F2205">
        <v>198501</v>
      </c>
      <c r="G2205">
        <v>199012</v>
      </c>
      <c r="H2205">
        <v>63</v>
      </c>
      <c r="I2205">
        <v>85</v>
      </c>
      <c r="J2205">
        <v>1488</v>
      </c>
      <c r="K2205">
        <v>3227005</v>
      </c>
      <c r="L2205" t="s">
        <v>401</v>
      </c>
      <c r="M2205" t="str">
        <f>"6019631"</f>
        <v>6019631</v>
      </c>
      <c r="N2205" t="str">
        <f>"6019631"</f>
        <v>6019631</v>
      </c>
      <c r="O2205" t="str">
        <f>""</f>
        <v/>
      </c>
      <c r="P2205" t="s">
        <v>267</v>
      </c>
      <c r="Q2205" t="str">
        <f>"3322937456741"</f>
        <v>3322937456741</v>
      </c>
      <c r="R2205" s="1" t="s">
        <v>378</v>
      </c>
      <c r="S2205" t="s">
        <v>316</v>
      </c>
      <c r="T2205" s="1" t="s">
        <v>402</v>
      </c>
      <c r="U2205">
        <v>82</v>
      </c>
      <c r="V2205" t="s">
        <v>267</v>
      </c>
      <c r="W2205" t="s">
        <v>267</v>
      </c>
      <c r="X2205" t="s">
        <v>224</v>
      </c>
    </row>
    <row r="2206" spans="1:24">
      <c r="A2206">
        <v>13532</v>
      </c>
      <c r="B2206" t="s">
        <v>25</v>
      </c>
      <c r="C2206" t="str">
        <f t="shared" si="70"/>
        <v>INTEGRA Hatchback</v>
      </c>
      <c r="D2206" t="str">
        <f t="shared" si="71"/>
        <v>1.5</v>
      </c>
      <c r="E2206" t="s">
        <v>1760</v>
      </c>
      <c r="F2206">
        <v>198501</v>
      </c>
      <c r="G2206">
        <v>199012</v>
      </c>
      <c r="H2206">
        <v>63</v>
      </c>
      <c r="I2206">
        <v>85</v>
      </c>
      <c r="J2206">
        <v>1488</v>
      </c>
      <c r="K2206">
        <v>3227370</v>
      </c>
      <c r="L2206" t="s">
        <v>401</v>
      </c>
      <c r="M2206" t="str">
        <f>"6041914"</f>
        <v>6041914</v>
      </c>
      <c r="N2206" t="str">
        <f>"6041914"</f>
        <v>6041914</v>
      </c>
      <c r="O2206" t="str">
        <f>""</f>
        <v/>
      </c>
      <c r="P2206" t="s">
        <v>267</v>
      </c>
      <c r="Q2206" t="str">
        <f>"3322937458608"</f>
        <v>3322937458608</v>
      </c>
      <c r="R2206" s="1" t="s">
        <v>382</v>
      </c>
      <c r="S2206" t="s">
        <v>342</v>
      </c>
      <c r="T2206" s="1" t="s">
        <v>403</v>
      </c>
      <c r="U2206">
        <v>82</v>
      </c>
      <c r="V2206" t="s">
        <v>267</v>
      </c>
      <c r="W2206" t="s">
        <v>267</v>
      </c>
      <c r="X2206" t="s">
        <v>224</v>
      </c>
    </row>
    <row r="2207" spans="1:24">
      <c r="A2207">
        <v>13532</v>
      </c>
      <c r="B2207" t="s">
        <v>25</v>
      </c>
      <c r="C2207" t="str">
        <f t="shared" si="70"/>
        <v>INTEGRA Hatchback</v>
      </c>
      <c r="D2207" t="str">
        <f t="shared" si="71"/>
        <v>1.5</v>
      </c>
      <c r="E2207" t="s">
        <v>1760</v>
      </c>
      <c r="F2207">
        <v>198501</v>
      </c>
      <c r="G2207">
        <v>199012</v>
      </c>
      <c r="H2207">
        <v>63</v>
      </c>
      <c r="I2207">
        <v>85</v>
      </c>
      <c r="J2207">
        <v>1488</v>
      </c>
      <c r="K2207">
        <v>3232028</v>
      </c>
      <c r="L2207" t="s">
        <v>404</v>
      </c>
      <c r="M2207" t="str">
        <f>"24202"</f>
        <v>24202</v>
      </c>
      <c r="N2207" t="str">
        <f>"24202"</f>
        <v>24202</v>
      </c>
      <c r="O2207" t="str">
        <f>""</f>
        <v/>
      </c>
      <c r="P2207" t="s">
        <v>267</v>
      </c>
      <c r="Q2207" t="str">
        <f>"8020584242025"</f>
        <v>8020584242025</v>
      </c>
      <c r="R2207" s="1" t="s">
        <v>405</v>
      </c>
      <c r="S2207" t="s">
        <v>310</v>
      </c>
      <c r="T2207" s="1" t="s">
        <v>406</v>
      </c>
      <c r="U2207">
        <v>82</v>
      </c>
      <c r="V2207" t="s">
        <v>267</v>
      </c>
      <c r="W2207" t="s">
        <v>267</v>
      </c>
      <c r="X2207" t="s">
        <v>224</v>
      </c>
    </row>
    <row r="2208" spans="1:24">
      <c r="A2208">
        <v>13532</v>
      </c>
      <c r="B2208" t="s">
        <v>25</v>
      </c>
      <c r="C2208" t="str">
        <f t="shared" si="70"/>
        <v>INTEGRA Hatchback</v>
      </c>
      <c r="D2208" t="str">
        <f t="shared" si="71"/>
        <v>1.5</v>
      </c>
      <c r="E2208" t="s">
        <v>1760</v>
      </c>
      <c r="F2208">
        <v>198501</v>
      </c>
      <c r="G2208">
        <v>199012</v>
      </c>
      <c r="H2208">
        <v>63</v>
      </c>
      <c r="I2208">
        <v>85</v>
      </c>
      <c r="J2208">
        <v>1488</v>
      </c>
      <c r="K2208">
        <v>3245167</v>
      </c>
      <c r="L2208" t="s">
        <v>199</v>
      </c>
      <c r="M2208" t="str">
        <f>"636910"</f>
        <v>636910</v>
      </c>
      <c r="N2208" t="str">
        <f>"6369 10"</f>
        <v>6369 10</v>
      </c>
      <c r="O2208" t="str">
        <f>""</f>
        <v/>
      </c>
      <c r="P2208" t="s">
        <v>267</v>
      </c>
      <c r="Q2208" t="str">
        <f>""</f>
        <v/>
      </c>
      <c r="R2208" t="s">
        <v>375</v>
      </c>
      <c r="T2208" s="1" t="s">
        <v>376</v>
      </c>
      <c r="U2208">
        <v>82</v>
      </c>
      <c r="V2208" t="s">
        <v>267</v>
      </c>
      <c r="W2208" t="s">
        <v>267</v>
      </c>
      <c r="X2208" t="s">
        <v>224</v>
      </c>
    </row>
    <row r="2209" spans="1:24">
      <c r="A2209">
        <v>13532</v>
      </c>
      <c r="B2209" t="s">
        <v>25</v>
      </c>
      <c r="C2209" t="str">
        <f t="shared" si="70"/>
        <v>INTEGRA Hatchback</v>
      </c>
      <c r="D2209" t="str">
        <f t="shared" si="71"/>
        <v>1.5</v>
      </c>
      <c r="E2209" t="s">
        <v>1760</v>
      </c>
      <c r="F2209">
        <v>198501</v>
      </c>
      <c r="G2209">
        <v>199012</v>
      </c>
      <c r="H2209">
        <v>63</v>
      </c>
      <c r="I2209">
        <v>85</v>
      </c>
      <c r="J2209">
        <v>1488</v>
      </c>
      <c r="K2209">
        <v>3285509</v>
      </c>
      <c r="L2209" t="s">
        <v>407</v>
      </c>
      <c r="M2209" t="str">
        <f>"BS7938"</f>
        <v>BS7938</v>
      </c>
      <c r="N2209" t="str">
        <f>"BS 7938"</f>
        <v>BS 7938</v>
      </c>
      <c r="O2209" t="str">
        <f>""</f>
        <v/>
      </c>
      <c r="P2209" t="s">
        <v>267</v>
      </c>
      <c r="Q2209" t="str">
        <f>"8020584979389"</f>
        <v>8020584979389</v>
      </c>
      <c r="R2209" s="1" t="s">
        <v>408</v>
      </c>
      <c r="S2209" t="s">
        <v>310</v>
      </c>
      <c r="T2209" s="1" t="s">
        <v>409</v>
      </c>
      <c r="U2209">
        <v>82</v>
      </c>
      <c r="V2209" t="s">
        <v>267</v>
      </c>
      <c r="W2209" t="s">
        <v>267</v>
      </c>
      <c r="X2209" t="s">
        <v>224</v>
      </c>
    </row>
    <row r="2210" spans="1:24">
      <c r="A2210">
        <v>13532</v>
      </c>
      <c r="B2210" t="s">
        <v>25</v>
      </c>
      <c r="C2210" t="str">
        <f t="shared" si="70"/>
        <v>INTEGRA Hatchback</v>
      </c>
      <c r="D2210" t="str">
        <f t="shared" si="71"/>
        <v>1.5</v>
      </c>
      <c r="E2210" t="s">
        <v>1760</v>
      </c>
      <c r="F2210">
        <v>198501</v>
      </c>
      <c r="G2210">
        <v>199012</v>
      </c>
      <c r="H2210">
        <v>63</v>
      </c>
      <c r="I2210">
        <v>85</v>
      </c>
      <c r="J2210">
        <v>1488</v>
      </c>
      <c r="K2210">
        <v>3655922</v>
      </c>
      <c r="L2210" t="s">
        <v>410</v>
      </c>
      <c r="M2210" t="str">
        <f>"D636910"</f>
        <v>D636910</v>
      </c>
      <c r="N2210" t="str">
        <f>"D6369.10"</f>
        <v>D6369.10</v>
      </c>
      <c r="O2210" t="str">
        <f>"DSA636910"</f>
        <v>DSA636910</v>
      </c>
      <c r="P2210" t="s">
        <v>267</v>
      </c>
      <c r="Q2210" t="str">
        <f>"8427975403292"</f>
        <v>8427975403292</v>
      </c>
      <c r="R2210" t="s">
        <v>372</v>
      </c>
      <c r="T2210" s="1" t="s">
        <v>411</v>
      </c>
      <c r="U2210">
        <v>82</v>
      </c>
      <c r="V2210" t="s">
        <v>267</v>
      </c>
      <c r="W2210" t="s">
        <v>267</v>
      </c>
      <c r="X2210" t="s">
        <v>224</v>
      </c>
    </row>
    <row r="2211" spans="1:24">
      <c r="A2211">
        <v>13532</v>
      </c>
      <c r="B2211" t="s">
        <v>25</v>
      </c>
      <c r="C2211" t="str">
        <f t="shared" si="70"/>
        <v>INTEGRA Hatchback</v>
      </c>
      <c r="D2211" t="str">
        <f t="shared" si="71"/>
        <v>1.5</v>
      </c>
      <c r="E2211" t="s">
        <v>1760</v>
      </c>
      <c r="F2211">
        <v>198501</v>
      </c>
      <c r="G2211">
        <v>199012</v>
      </c>
      <c r="H2211">
        <v>63</v>
      </c>
      <c r="I2211">
        <v>85</v>
      </c>
      <c r="J2211">
        <v>1488</v>
      </c>
      <c r="K2211">
        <v>3708404</v>
      </c>
      <c r="L2211" t="s">
        <v>412</v>
      </c>
      <c r="M2211" t="str">
        <f>"DI952450"</f>
        <v>DI952450</v>
      </c>
      <c r="N2211" t="str">
        <f>"DI952450"</f>
        <v>DI952450</v>
      </c>
      <c r="O2211" t="str">
        <f>""</f>
        <v/>
      </c>
      <c r="P2211" t="s">
        <v>267</v>
      </c>
      <c r="Q2211" t="str">
        <f>""</f>
        <v/>
      </c>
      <c r="R2211" t="s">
        <v>413</v>
      </c>
      <c r="S2211" t="s">
        <v>316</v>
      </c>
      <c r="T2211" s="1" t="s">
        <v>414</v>
      </c>
      <c r="U2211">
        <v>82</v>
      </c>
      <c r="V2211" t="s">
        <v>267</v>
      </c>
      <c r="W2211" t="s">
        <v>267</v>
      </c>
      <c r="X2211" t="s">
        <v>224</v>
      </c>
    </row>
    <row r="2212" spans="1:24">
      <c r="A2212">
        <v>13532</v>
      </c>
      <c r="B2212" t="s">
        <v>25</v>
      </c>
      <c r="C2212" t="str">
        <f t="shared" si="70"/>
        <v>INTEGRA Hatchback</v>
      </c>
      <c r="D2212" t="str">
        <f t="shared" si="71"/>
        <v>1.5</v>
      </c>
      <c r="E2212" t="s">
        <v>1760</v>
      </c>
      <c r="F2212">
        <v>198501</v>
      </c>
      <c r="G2212">
        <v>199012</v>
      </c>
      <c r="H2212">
        <v>63</v>
      </c>
      <c r="I2212">
        <v>85</v>
      </c>
      <c r="J2212">
        <v>1488</v>
      </c>
      <c r="K2212">
        <v>3708405</v>
      </c>
      <c r="L2212" t="s">
        <v>412</v>
      </c>
      <c r="M2212" t="str">
        <f>"DI952460"</f>
        <v>DI952460</v>
      </c>
      <c r="N2212" t="str">
        <f>"DI952460"</f>
        <v>DI952460</v>
      </c>
      <c r="O2212" t="str">
        <f>""</f>
        <v/>
      </c>
      <c r="P2212" t="s">
        <v>267</v>
      </c>
      <c r="Q2212" t="str">
        <f>"5050590204796"</f>
        <v>5050590204796</v>
      </c>
      <c r="R2212" t="s">
        <v>415</v>
      </c>
      <c r="S2212" t="s">
        <v>334</v>
      </c>
      <c r="T2212" t="s">
        <v>416</v>
      </c>
      <c r="U2212">
        <v>82</v>
      </c>
      <c r="V2212" t="s">
        <v>267</v>
      </c>
      <c r="W2212" t="s">
        <v>267</v>
      </c>
      <c r="X2212" t="s">
        <v>224</v>
      </c>
    </row>
    <row r="2213" spans="1:24">
      <c r="A2213">
        <v>13532</v>
      </c>
      <c r="B2213" t="s">
        <v>25</v>
      </c>
      <c r="C2213" t="str">
        <f t="shared" si="70"/>
        <v>INTEGRA Hatchback</v>
      </c>
      <c r="D2213" t="str">
        <f t="shared" si="71"/>
        <v>1.5</v>
      </c>
      <c r="E2213" t="s">
        <v>1760</v>
      </c>
      <c r="F2213">
        <v>198501</v>
      </c>
      <c r="G2213">
        <v>199012</v>
      </c>
      <c r="H2213">
        <v>63</v>
      </c>
      <c r="I2213">
        <v>85</v>
      </c>
      <c r="J2213">
        <v>1488</v>
      </c>
      <c r="K2213">
        <v>3708691</v>
      </c>
      <c r="L2213" t="s">
        <v>412</v>
      </c>
      <c r="M2213" t="str">
        <f>"DI955373"</f>
        <v>DI955373</v>
      </c>
      <c r="N2213" t="str">
        <f>"DI955373"</f>
        <v>DI955373</v>
      </c>
      <c r="O2213" t="str">
        <f>""</f>
        <v/>
      </c>
      <c r="P2213" t="s">
        <v>267</v>
      </c>
      <c r="Q2213" t="str">
        <f>""</f>
        <v/>
      </c>
      <c r="R2213" t="s">
        <v>417</v>
      </c>
      <c r="S2213" t="s">
        <v>342</v>
      </c>
      <c r="T2213" s="1" t="s">
        <v>418</v>
      </c>
      <c r="U2213">
        <v>82</v>
      </c>
      <c r="V2213" t="s">
        <v>267</v>
      </c>
      <c r="W2213" t="s">
        <v>267</v>
      </c>
      <c r="X2213" t="s">
        <v>224</v>
      </c>
    </row>
    <row r="2214" spans="1:24">
      <c r="A2214">
        <v>13532</v>
      </c>
      <c r="B2214" t="s">
        <v>25</v>
      </c>
      <c r="C2214" t="str">
        <f t="shared" si="70"/>
        <v>INTEGRA Hatchback</v>
      </c>
      <c r="D2214" t="str">
        <f t="shared" si="71"/>
        <v>1.5</v>
      </c>
      <c r="E2214" t="s">
        <v>1760</v>
      </c>
      <c r="F2214">
        <v>198501</v>
      </c>
      <c r="G2214">
        <v>199012</v>
      </c>
      <c r="H2214">
        <v>63</v>
      </c>
      <c r="I2214">
        <v>85</v>
      </c>
      <c r="J2214">
        <v>1488</v>
      </c>
      <c r="K2214">
        <v>3837763</v>
      </c>
      <c r="L2214" t="s">
        <v>419</v>
      </c>
      <c r="M2214" t="str">
        <f>"ADC0510"</f>
        <v>ADC0510</v>
      </c>
      <c r="N2214" t="str">
        <f>"ADC0510"</f>
        <v>ADC0510</v>
      </c>
      <c r="O2214" t="str">
        <f>""</f>
        <v/>
      </c>
      <c r="P2214" t="s">
        <v>267</v>
      </c>
      <c r="Q2214" t="str">
        <f>""</f>
        <v/>
      </c>
      <c r="R2214" s="1" t="s">
        <v>420</v>
      </c>
      <c r="S2214" t="s">
        <v>421</v>
      </c>
      <c r="T2214" s="1" t="s">
        <v>422</v>
      </c>
      <c r="U2214">
        <v>82</v>
      </c>
      <c r="V2214" t="s">
        <v>267</v>
      </c>
      <c r="W2214" t="s">
        <v>267</v>
      </c>
      <c r="X2214" t="s">
        <v>224</v>
      </c>
    </row>
    <row r="2215" spans="1:24">
      <c r="A2215">
        <v>13532</v>
      </c>
      <c r="B2215" t="s">
        <v>25</v>
      </c>
      <c r="C2215" t="str">
        <f t="shared" si="70"/>
        <v>INTEGRA Hatchback</v>
      </c>
      <c r="D2215" t="str">
        <f t="shared" si="71"/>
        <v>1.5</v>
      </c>
      <c r="E2215" t="s">
        <v>1760</v>
      </c>
      <c r="F2215">
        <v>198501</v>
      </c>
      <c r="G2215">
        <v>199012</v>
      </c>
      <c r="H2215">
        <v>63</v>
      </c>
      <c r="I2215">
        <v>85</v>
      </c>
      <c r="J2215">
        <v>1488</v>
      </c>
      <c r="K2215">
        <v>3963695</v>
      </c>
      <c r="L2215" t="s">
        <v>27</v>
      </c>
      <c r="M2215" t="str">
        <f>"H03507"</f>
        <v>H03507</v>
      </c>
      <c r="N2215" t="str">
        <f>"H035-07"</f>
        <v>H035-07</v>
      </c>
      <c r="O2215" t="str">
        <f>""</f>
        <v/>
      </c>
      <c r="P2215" t="s">
        <v>267</v>
      </c>
      <c r="Q2215" t="str">
        <f>"8718993206065"</f>
        <v>8718993206065</v>
      </c>
      <c r="R2215" s="1" t="s">
        <v>423</v>
      </c>
      <c r="S2215" t="s">
        <v>424</v>
      </c>
      <c r="T2215" s="1" t="s">
        <v>425</v>
      </c>
      <c r="U2215">
        <v>82</v>
      </c>
      <c r="V2215" t="s">
        <v>267</v>
      </c>
      <c r="W2215" t="s">
        <v>267</v>
      </c>
      <c r="X2215" t="s">
        <v>224</v>
      </c>
    </row>
    <row r="2216" spans="1:24">
      <c r="A2216">
        <v>13532</v>
      </c>
      <c r="B2216" t="s">
        <v>25</v>
      </c>
      <c r="C2216" t="str">
        <f t="shared" si="70"/>
        <v>INTEGRA Hatchback</v>
      </c>
      <c r="D2216" t="str">
        <f t="shared" si="71"/>
        <v>1.5</v>
      </c>
      <c r="E2216" t="s">
        <v>1760</v>
      </c>
      <c r="F2216">
        <v>198501</v>
      </c>
      <c r="G2216">
        <v>199012</v>
      </c>
      <c r="H2216">
        <v>63</v>
      </c>
      <c r="I2216">
        <v>85</v>
      </c>
      <c r="J2216">
        <v>1488</v>
      </c>
      <c r="K2216">
        <v>3963729</v>
      </c>
      <c r="L2216" t="s">
        <v>27</v>
      </c>
      <c r="M2216" t="str">
        <f>"H03901"</f>
        <v>H03901</v>
      </c>
      <c r="N2216" t="str">
        <f>"H039-01"</f>
        <v>H039-01</v>
      </c>
      <c r="O2216" t="str">
        <f>""</f>
        <v/>
      </c>
      <c r="P2216" t="s">
        <v>267</v>
      </c>
      <c r="Q2216" t="str">
        <f>"8718993206669"</f>
        <v>8718993206669</v>
      </c>
      <c r="R2216" s="1" t="s">
        <v>1330</v>
      </c>
      <c r="S2216" t="s">
        <v>1331</v>
      </c>
      <c r="T2216" s="1" t="s">
        <v>1332</v>
      </c>
      <c r="U2216">
        <v>82</v>
      </c>
      <c r="V2216" t="s">
        <v>267</v>
      </c>
      <c r="W2216" t="s">
        <v>267</v>
      </c>
      <c r="X2216" t="s">
        <v>224</v>
      </c>
    </row>
    <row r="2217" spans="1:24">
      <c r="A2217">
        <v>13532</v>
      </c>
      <c r="B2217" t="s">
        <v>25</v>
      </c>
      <c r="C2217" t="str">
        <f t="shared" si="70"/>
        <v>INTEGRA Hatchback</v>
      </c>
      <c r="D2217" t="str">
        <f t="shared" si="71"/>
        <v>1.5</v>
      </c>
      <c r="E2217" t="s">
        <v>1760</v>
      </c>
      <c r="F2217">
        <v>198501</v>
      </c>
      <c r="G2217">
        <v>199012</v>
      </c>
      <c r="H2217">
        <v>63</v>
      </c>
      <c r="I2217">
        <v>85</v>
      </c>
      <c r="J2217">
        <v>1488</v>
      </c>
      <c r="K2217">
        <v>4051288</v>
      </c>
      <c r="L2217" t="s">
        <v>426</v>
      </c>
      <c r="M2217" t="str">
        <f>"6281496"</f>
        <v>6281496</v>
      </c>
      <c r="N2217" t="str">
        <f>"628.1496"</f>
        <v>628.1496</v>
      </c>
      <c r="O2217" t="str">
        <f>""</f>
        <v/>
      </c>
      <c r="P2217" t="s">
        <v>267</v>
      </c>
      <c r="Q2217" t="str">
        <f>"8432509048382"</f>
        <v>8432509048382</v>
      </c>
      <c r="R2217" s="1" t="s">
        <v>427</v>
      </c>
      <c r="S2217" t="s">
        <v>310</v>
      </c>
      <c r="T2217" s="1" t="s">
        <v>358</v>
      </c>
      <c r="U2217">
        <v>82</v>
      </c>
      <c r="V2217" t="s">
        <v>267</v>
      </c>
      <c r="W2217" t="s">
        <v>267</v>
      </c>
      <c r="X2217" t="s">
        <v>224</v>
      </c>
    </row>
    <row r="2218" spans="1:24">
      <c r="A2218">
        <v>13532</v>
      </c>
      <c r="B2218" t="s">
        <v>25</v>
      </c>
      <c r="C2218" t="str">
        <f t="shared" si="70"/>
        <v>INTEGRA Hatchback</v>
      </c>
      <c r="D2218" t="str">
        <f t="shared" si="71"/>
        <v>1.5</v>
      </c>
      <c r="E2218" t="s">
        <v>1760</v>
      </c>
      <c r="F2218">
        <v>198501</v>
      </c>
      <c r="G2218">
        <v>199012</v>
      </c>
      <c r="H2218">
        <v>63</v>
      </c>
      <c r="I2218">
        <v>85</v>
      </c>
      <c r="J2218">
        <v>1488</v>
      </c>
      <c r="K2218">
        <v>4199259</v>
      </c>
      <c r="L2218" t="s">
        <v>255</v>
      </c>
      <c r="M2218" t="str">
        <f>"C34019ABE"</f>
        <v>C34019ABE</v>
      </c>
      <c r="N2218" t="str">
        <f>"C34019ABE"</f>
        <v>C34019ABE</v>
      </c>
      <c r="O2218" t="str">
        <f>""</f>
        <v/>
      </c>
      <c r="P2218" t="s">
        <v>267</v>
      </c>
      <c r="Q2218" t="str">
        <f>""</f>
        <v/>
      </c>
      <c r="R2218" t="s">
        <v>428</v>
      </c>
      <c r="S2218" t="s">
        <v>429</v>
      </c>
      <c r="T2218" s="1" t="s">
        <v>430</v>
      </c>
      <c r="U2218">
        <v>82</v>
      </c>
      <c r="V2218" t="s">
        <v>267</v>
      </c>
      <c r="W2218" t="s">
        <v>267</v>
      </c>
      <c r="X2218" t="s">
        <v>224</v>
      </c>
    </row>
    <row r="2219" spans="1:24">
      <c r="A2219">
        <v>13532</v>
      </c>
      <c r="B2219" t="s">
        <v>25</v>
      </c>
      <c r="C2219" t="str">
        <f t="shared" si="70"/>
        <v>INTEGRA Hatchback</v>
      </c>
      <c r="D2219" t="str">
        <f t="shared" si="71"/>
        <v>1.5</v>
      </c>
      <c r="E2219" t="s">
        <v>1760</v>
      </c>
      <c r="F2219">
        <v>198501</v>
      </c>
      <c r="G2219">
        <v>199012</v>
      </c>
      <c r="H2219">
        <v>63</v>
      </c>
      <c r="I2219">
        <v>85</v>
      </c>
      <c r="J2219">
        <v>1488</v>
      </c>
      <c r="K2219">
        <v>4199264</v>
      </c>
      <c r="L2219" t="s">
        <v>255</v>
      </c>
      <c r="M2219" t="str">
        <f>"C34026ABE"</f>
        <v>C34026ABE</v>
      </c>
      <c r="N2219" t="str">
        <f>"C34026ABE"</f>
        <v>C34026ABE</v>
      </c>
      <c r="O2219" t="str">
        <f>""</f>
        <v/>
      </c>
      <c r="P2219" t="s">
        <v>267</v>
      </c>
      <c r="Q2219" t="str">
        <f>""</f>
        <v/>
      </c>
      <c r="R2219" t="s">
        <v>431</v>
      </c>
      <c r="S2219" t="s">
        <v>432</v>
      </c>
      <c r="T2219" s="1" t="s">
        <v>433</v>
      </c>
      <c r="U2219">
        <v>82</v>
      </c>
      <c r="V2219" t="s">
        <v>267</v>
      </c>
      <c r="W2219" t="s">
        <v>267</v>
      </c>
      <c r="X2219" t="s">
        <v>224</v>
      </c>
    </row>
    <row r="2220" spans="1:24">
      <c r="A2220">
        <v>13532</v>
      </c>
      <c r="B2220" t="s">
        <v>25</v>
      </c>
      <c r="C2220" t="str">
        <f t="shared" si="70"/>
        <v>INTEGRA Hatchback</v>
      </c>
      <c r="D2220" t="str">
        <f t="shared" si="71"/>
        <v>1.5</v>
      </c>
      <c r="E2220" t="s">
        <v>1760</v>
      </c>
      <c r="F2220">
        <v>198501</v>
      </c>
      <c r="G2220">
        <v>199012</v>
      </c>
      <c r="H2220">
        <v>63</v>
      </c>
      <c r="I2220">
        <v>85</v>
      </c>
      <c r="J2220">
        <v>1488</v>
      </c>
      <c r="K2220">
        <v>4199852</v>
      </c>
      <c r="L2220" t="s">
        <v>255</v>
      </c>
      <c r="M2220" t="str">
        <f>"C44014ABE"</f>
        <v>C44014ABE</v>
      </c>
      <c r="N2220" t="str">
        <f>"C44014ABE"</f>
        <v>C44014ABE</v>
      </c>
      <c r="O2220" t="str">
        <f>""</f>
        <v/>
      </c>
      <c r="P2220" t="s">
        <v>267</v>
      </c>
      <c r="Q2220" t="str">
        <f>""</f>
        <v/>
      </c>
      <c r="R2220" t="s">
        <v>434</v>
      </c>
      <c r="S2220" t="s">
        <v>342</v>
      </c>
      <c r="T2220" s="1" t="s">
        <v>435</v>
      </c>
      <c r="U2220">
        <v>82</v>
      </c>
      <c r="V2220" t="s">
        <v>267</v>
      </c>
      <c r="W2220" t="s">
        <v>267</v>
      </c>
      <c r="X2220" t="s">
        <v>224</v>
      </c>
    </row>
    <row r="2221" spans="1:24">
      <c r="A2221">
        <v>13532</v>
      </c>
      <c r="B2221" t="s">
        <v>25</v>
      </c>
      <c r="C2221" t="str">
        <f t="shared" si="70"/>
        <v>INTEGRA Hatchback</v>
      </c>
      <c r="D2221" t="str">
        <f t="shared" si="71"/>
        <v>1.5</v>
      </c>
      <c r="E2221" t="s">
        <v>1760</v>
      </c>
      <c r="F2221">
        <v>198501</v>
      </c>
      <c r="G2221">
        <v>199012</v>
      </c>
      <c r="H2221">
        <v>63</v>
      </c>
      <c r="I2221">
        <v>85</v>
      </c>
      <c r="J2221">
        <v>1488</v>
      </c>
      <c r="K2221">
        <v>4269392</v>
      </c>
      <c r="L2221" t="s">
        <v>436</v>
      </c>
      <c r="M2221" t="str">
        <f>"BD1045"</f>
        <v>BD1045</v>
      </c>
      <c r="N2221" t="str">
        <f>"BD1045"</f>
        <v>BD1045</v>
      </c>
      <c r="O2221" t="str">
        <f>""</f>
        <v/>
      </c>
      <c r="P2221" t="s">
        <v>267</v>
      </c>
      <c r="Q2221" t="str">
        <f>""</f>
        <v/>
      </c>
      <c r="R2221" t="s">
        <v>437</v>
      </c>
      <c r="T2221" s="1" t="s">
        <v>438</v>
      </c>
      <c r="U2221">
        <v>82</v>
      </c>
      <c r="V2221" t="s">
        <v>267</v>
      </c>
      <c r="W2221" t="s">
        <v>267</v>
      </c>
      <c r="X2221" t="s">
        <v>224</v>
      </c>
    </row>
    <row r="2222" spans="1:24">
      <c r="A2222">
        <v>13532</v>
      </c>
      <c r="B2222" t="s">
        <v>25</v>
      </c>
      <c r="C2222" t="str">
        <f t="shared" si="70"/>
        <v>INTEGRA Hatchback</v>
      </c>
      <c r="D2222" t="str">
        <f t="shared" si="71"/>
        <v>1.5</v>
      </c>
      <c r="E2222" t="s">
        <v>1760</v>
      </c>
      <c r="F2222">
        <v>198501</v>
      </c>
      <c r="G2222">
        <v>199012</v>
      </c>
      <c r="H2222">
        <v>63</v>
      </c>
      <c r="I2222">
        <v>85</v>
      </c>
      <c r="J2222">
        <v>1488</v>
      </c>
      <c r="K2222">
        <v>4594270</v>
      </c>
      <c r="L2222" t="s">
        <v>439</v>
      </c>
      <c r="M2222" t="str">
        <f>"RT2003"</f>
        <v>RT2003</v>
      </c>
      <c r="N2222" t="str">
        <f>"RT 2003"</f>
        <v>RT 2003</v>
      </c>
      <c r="O2222" t="str">
        <f>"2003"</f>
        <v>2003</v>
      </c>
      <c r="P2222" t="s">
        <v>267</v>
      </c>
      <c r="Q2222" t="str">
        <f>"5901436312666"</f>
        <v>5901436312666</v>
      </c>
      <c r="R2222" s="1" t="s">
        <v>440</v>
      </c>
      <c r="S2222" t="s">
        <v>316</v>
      </c>
      <c r="T2222" s="1" t="s">
        <v>441</v>
      </c>
      <c r="U2222">
        <v>82</v>
      </c>
      <c r="V2222" t="s">
        <v>267</v>
      </c>
      <c r="W2222" t="s">
        <v>267</v>
      </c>
      <c r="X2222" t="s">
        <v>224</v>
      </c>
    </row>
    <row r="2223" spans="1:24">
      <c r="A2223">
        <v>13532</v>
      </c>
      <c r="B2223" t="s">
        <v>25</v>
      </c>
      <c r="C2223" t="str">
        <f t="shared" si="70"/>
        <v>INTEGRA Hatchback</v>
      </c>
      <c r="D2223" t="str">
        <f t="shared" si="71"/>
        <v>1.5</v>
      </c>
      <c r="E2223" t="s">
        <v>1760</v>
      </c>
      <c r="F2223">
        <v>198501</v>
      </c>
      <c r="G2223">
        <v>199012</v>
      </c>
      <c r="H2223">
        <v>63</v>
      </c>
      <c r="I2223">
        <v>85</v>
      </c>
      <c r="J2223">
        <v>1488</v>
      </c>
      <c r="K2223">
        <v>4594271</v>
      </c>
      <c r="L2223" t="s">
        <v>439</v>
      </c>
      <c r="M2223" t="str">
        <f>"RT2003T5"</f>
        <v>RT2003T5</v>
      </c>
      <c r="N2223" t="str">
        <f>"RT 2003 T5"</f>
        <v>RT 2003 T5</v>
      </c>
      <c r="O2223" t="str">
        <f>"2003/T5"</f>
        <v>2003/T5</v>
      </c>
      <c r="P2223" t="s">
        <v>267</v>
      </c>
      <c r="Q2223" t="str">
        <f>"5901436320845"</f>
        <v>5901436320845</v>
      </c>
      <c r="R2223" s="1" t="s">
        <v>442</v>
      </c>
      <c r="S2223" t="s">
        <v>316</v>
      </c>
      <c r="T2223" s="1" t="s">
        <v>443</v>
      </c>
      <c r="U2223">
        <v>82</v>
      </c>
      <c r="V2223" t="s">
        <v>267</v>
      </c>
      <c r="W2223" t="s">
        <v>267</v>
      </c>
      <c r="X2223" t="s">
        <v>224</v>
      </c>
    </row>
    <row r="2224" spans="1:24">
      <c r="A2224">
        <v>13532</v>
      </c>
      <c r="B2224" t="s">
        <v>25</v>
      </c>
      <c r="C2224" t="str">
        <f t="shared" si="70"/>
        <v>INTEGRA Hatchback</v>
      </c>
      <c r="D2224" t="str">
        <f t="shared" si="71"/>
        <v>1.5</v>
      </c>
      <c r="E2224" t="s">
        <v>1760</v>
      </c>
      <c r="F2224">
        <v>198501</v>
      </c>
      <c r="G2224">
        <v>199012</v>
      </c>
      <c r="H2224">
        <v>63</v>
      </c>
      <c r="I2224">
        <v>85</v>
      </c>
      <c r="J2224">
        <v>1488</v>
      </c>
      <c r="K2224">
        <v>4979758</v>
      </c>
      <c r="L2224" t="s">
        <v>302</v>
      </c>
      <c r="M2224" t="str">
        <f>"8510086060"</f>
        <v>8510086060</v>
      </c>
      <c r="N2224" t="str">
        <f>"851008.6060"</f>
        <v>851008.6060</v>
      </c>
      <c r="O2224" t="str">
        <f>""</f>
        <v/>
      </c>
      <c r="P2224" t="s">
        <v>267</v>
      </c>
      <c r="Q2224" t="str">
        <f>""</f>
        <v/>
      </c>
      <c r="R2224" s="1" t="s">
        <v>303</v>
      </c>
      <c r="S2224" t="s">
        <v>304</v>
      </c>
      <c r="T2224" t="s">
        <v>305</v>
      </c>
      <c r="U2224">
        <v>82</v>
      </c>
      <c r="V2224" t="s">
        <v>267</v>
      </c>
      <c r="W2224" t="s">
        <v>267</v>
      </c>
      <c r="X2224" t="s">
        <v>224</v>
      </c>
    </row>
    <row r="2225" spans="1:25">
      <c r="A2225">
        <v>13532</v>
      </c>
      <c r="B2225" t="s">
        <v>25</v>
      </c>
      <c r="C2225" t="str">
        <f t="shared" si="70"/>
        <v>INTEGRA Hatchback</v>
      </c>
      <c r="D2225" t="str">
        <f t="shared" si="71"/>
        <v>1.5</v>
      </c>
      <c r="E2225" t="s">
        <v>1760</v>
      </c>
      <c r="F2225">
        <v>198501</v>
      </c>
      <c r="G2225">
        <v>199012</v>
      </c>
      <c r="H2225">
        <v>63</v>
      </c>
      <c r="I2225">
        <v>85</v>
      </c>
      <c r="J2225">
        <v>1488</v>
      </c>
      <c r="K2225">
        <v>4979759</v>
      </c>
      <c r="L2225" t="s">
        <v>302</v>
      </c>
      <c r="M2225" t="str">
        <f>"8510086880"</f>
        <v>8510086880</v>
      </c>
      <c r="N2225" t="str">
        <f>"851008.6880"</f>
        <v>851008.6880</v>
      </c>
      <c r="O2225" t="str">
        <f>""</f>
        <v/>
      </c>
      <c r="P2225" t="s">
        <v>267</v>
      </c>
      <c r="Q2225" t="str">
        <f>""</f>
        <v/>
      </c>
      <c r="R2225" s="1" t="s">
        <v>303</v>
      </c>
      <c r="S2225" t="s">
        <v>304</v>
      </c>
      <c r="T2225" t="s">
        <v>444</v>
      </c>
      <c r="U2225">
        <v>82</v>
      </c>
      <c r="V2225" t="s">
        <v>267</v>
      </c>
      <c r="W2225" t="s">
        <v>267</v>
      </c>
      <c r="X2225" t="s">
        <v>224</v>
      </c>
    </row>
    <row r="2226" spans="1:25">
      <c r="A2226">
        <v>13532</v>
      </c>
      <c r="B2226" t="s">
        <v>25</v>
      </c>
      <c r="C2226" t="str">
        <f t="shared" si="70"/>
        <v>INTEGRA Hatchback</v>
      </c>
      <c r="D2226" t="str">
        <f t="shared" si="71"/>
        <v>1.5</v>
      </c>
      <c r="E2226" t="s">
        <v>1760</v>
      </c>
      <c r="F2226">
        <v>198501</v>
      </c>
      <c r="G2226">
        <v>199012</v>
      </c>
      <c r="H2226">
        <v>63</v>
      </c>
      <c r="I2226">
        <v>85</v>
      </c>
      <c r="J2226">
        <v>1488</v>
      </c>
      <c r="K2226">
        <v>4979760</v>
      </c>
      <c r="L2226" t="s">
        <v>302</v>
      </c>
      <c r="M2226" t="str">
        <f>"8510086980"</f>
        <v>8510086980</v>
      </c>
      <c r="N2226" t="str">
        <f>"851008.6980"</f>
        <v>851008.6980</v>
      </c>
      <c r="O2226" t="str">
        <f>""</f>
        <v/>
      </c>
      <c r="P2226" t="s">
        <v>267</v>
      </c>
      <c r="Q2226" t="str">
        <f>""</f>
        <v/>
      </c>
      <c r="R2226" s="1" t="s">
        <v>303</v>
      </c>
      <c r="S2226" t="s">
        <v>304</v>
      </c>
      <c r="T2226" t="s">
        <v>445</v>
      </c>
      <c r="U2226">
        <v>82</v>
      </c>
      <c r="V2226" t="s">
        <v>267</v>
      </c>
      <c r="W2226" t="s">
        <v>267</v>
      </c>
      <c r="X2226" t="s">
        <v>224</v>
      </c>
    </row>
    <row r="2227" spans="1:25">
      <c r="A2227">
        <v>13532</v>
      </c>
      <c r="B2227" t="s">
        <v>25</v>
      </c>
      <c r="C2227" t="str">
        <f t="shared" si="70"/>
        <v>INTEGRA Hatchback</v>
      </c>
      <c r="D2227" t="str">
        <f t="shared" si="71"/>
        <v>1.5</v>
      </c>
      <c r="E2227" t="s">
        <v>1760</v>
      </c>
      <c r="F2227">
        <v>198501</v>
      </c>
      <c r="G2227">
        <v>199012</v>
      </c>
      <c r="H2227">
        <v>63</v>
      </c>
      <c r="I2227">
        <v>85</v>
      </c>
      <c r="J2227">
        <v>1488</v>
      </c>
      <c r="K2227">
        <v>4979807</v>
      </c>
      <c r="L2227" t="s">
        <v>302</v>
      </c>
      <c r="M2227" t="str">
        <f>"8510546060"</f>
        <v>8510546060</v>
      </c>
      <c r="N2227" t="str">
        <f>"851054.6060"</f>
        <v>851054.6060</v>
      </c>
      <c r="O2227" t="str">
        <f>""</f>
        <v/>
      </c>
      <c r="P2227" t="s">
        <v>267</v>
      </c>
      <c r="Q2227" t="str">
        <f>""</f>
        <v/>
      </c>
      <c r="R2227" s="1" t="s">
        <v>306</v>
      </c>
      <c r="S2227" t="s">
        <v>307</v>
      </c>
      <c r="T2227" t="s">
        <v>446</v>
      </c>
      <c r="U2227">
        <v>82</v>
      </c>
      <c r="V2227" t="s">
        <v>267</v>
      </c>
      <c r="W2227" t="s">
        <v>267</v>
      </c>
      <c r="X2227" t="s">
        <v>224</v>
      </c>
    </row>
    <row r="2228" spans="1:25">
      <c r="A2228">
        <v>13532</v>
      </c>
      <c r="B2228" t="s">
        <v>25</v>
      </c>
      <c r="C2228" t="str">
        <f t="shared" si="70"/>
        <v>INTEGRA Hatchback</v>
      </c>
      <c r="D2228" t="str">
        <f t="shared" si="71"/>
        <v>1.5</v>
      </c>
      <c r="E2228" t="s">
        <v>1760</v>
      </c>
      <c r="F2228">
        <v>198501</v>
      </c>
      <c r="G2228">
        <v>199012</v>
      </c>
      <c r="H2228">
        <v>63</v>
      </c>
      <c r="I2228">
        <v>85</v>
      </c>
      <c r="J2228">
        <v>1488</v>
      </c>
      <c r="K2228">
        <v>4979808</v>
      </c>
      <c r="L2228" t="s">
        <v>302</v>
      </c>
      <c r="M2228" t="str">
        <f>"8510546880"</f>
        <v>8510546880</v>
      </c>
      <c r="N2228" t="str">
        <f>"851054.6880"</f>
        <v>851054.6880</v>
      </c>
      <c r="O2228" t="str">
        <f>""</f>
        <v/>
      </c>
      <c r="P2228" t="s">
        <v>267</v>
      </c>
      <c r="Q2228" t="str">
        <f>""</f>
        <v/>
      </c>
      <c r="R2228" s="1" t="s">
        <v>306</v>
      </c>
      <c r="S2228" t="s">
        <v>307</v>
      </c>
      <c r="T2228" t="s">
        <v>447</v>
      </c>
      <c r="U2228">
        <v>82</v>
      </c>
      <c r="V2228" t="s">
        <v>267</v>
      </c>
      <c r="W2228" t="s">
        <v>267</v>
      </c>
      <c r="X2228" t="s">
        <v>224</v>
      </c>
    </row>
    <row r="2229" spans="1:25">
      <c r="A2229">
        <v>13532</v>
      </c>
      <c r="B2229" t="s">
        <v>25</v>
      </c>
      <c r="C2229" t="str">
        <f t="shared" si="70"/>
        <v>INTEGRA Hatchback</v>
      </c>
      <c r="D2229" t="str">
        <f t="shared" si="71"/>
        <v>1.5</v>
      </c>
      <c r="E2229" t="s">
        <v>1760</v>
      </c>
      <c r="F2229">
        <v>198501</v>
      </c>
      <c r="G2229">
        <v>199012</v>
      </c>
      <c r="H2229">
        <v>63</v>
      </c>
      <c r="I2229">
        <v>85</v>
      </c>
      <c r="J2229">
        <v>1488</v>
      </c>
      <c r="K2229">
        <v>4979809</v>
      </c>
      <c r="L2229" t="s">
        <v>302</v>
      </c>
      <c r="M2229" t="str">
        <f>"8510546980"</f>
        <v>8510546980</v>
      </c>
      <c r="N2229" t="str">
        <f>"851054.6980"</f>
        <v>851054.6980</v>
      </c>
      <c r="O2229" t="str">
        <f>""</f>
        <v/>
      </c>
      <c r="P2229" t="s">
        <v>267</v>
      </c>
      <c r="Q2229" t="str">
        <f>""</f>
        <v/>
      </c>
      <c r="R2229" s="1" t="s">
        <v>306</v>
      </c>
      <c r="S2229" t="s">
        <v>307</v>
      </c>
      <c r="T2229" t="s">
        <v>448</v>
      </c>
      <c r="U2229">
        <v>82</v>
      </c>
      <c r="V2229" t="s">
        <v>267</v>
      </c>
      <c r="W2229" t="s">
        <v>267</v>
      </c>
      <c r="X2229" t="s">
        <v>224</v>
      </c>
    </row>
    <row r="2230" spans="1:25">
      <c r="A2230">
        <v>13532</v>
      </c>
      <c r="B2230" t="s">
        <v>25</v>
      </c>
      <c r="C2230" t="str">
        <f t="shared" si="70"/>
        <v>INTEGRA Hatchback</v>
      </c>
      <c r="D2230" t="str">
        <f t="shared" si="71"/>
        <v>1.5</v>
      </c>
      <c r="E2230" t="s">
        <v>1760</v>
      </c>
      <c r="F2230">
        <v>198501</v>
      </c>
      <c r="G2230">
        <v>199012</v>
      </c>
      <c r="H2230">
        <v>63</v>
      </c>
      <c r="I2230">
        <v>85</v>
      </c>
      <c r="J2230">
        <v>1488</v>
      </c>
      <c r="K2230">
        <v>4900099</v>
      </c>
      <c r="L2230" t="s">
        <v>449</v>
      </c>
      <c r="M2230" t="str">
        <f>"11847"</f>
        <v>11847</v>
      </c>
      <c r="N2230" t="str">
        <f>"11847"</f>
        <v>11847</v>
      </c>
      <c r="O2230" t="str">
        <f>""</f>
        <v/>
      </c>
      <c r="P2230" t="s">
        <v>450</v>
      </c>
      <c r="Q2230" t="str">
        <f>"8435392001083"</f>
        <v>8435392001083</v>
      </c>
      <c r="R2230" t="s">
        <v>451</v>
      </c>
      <c r="T2230" s="1" t="s">
        <v>452</v>
      </c>
      <c r="U2230">
        <v>191</v>
      </c>
      <c r="V2230" t="s">
        <v>450</v>
      </c>
      <c r="W2230" t="s">
        <v>453</v>
      </c>
      <c r="X2230" t="s">
        <v>211</v>
      </c>
    </row>
    <row r="2231" spans="1:25">
      <c r="A2231">
        <v>13532</v>
      </c>
      <c r="B2231" t="s">
        <v>25</v>
      </c>
      <c r="C2231" t="str">
        <f t="shared" si="70"/>
        <v>INTEGRA Hatchback</v>
      </c>
      <c r="D2231" t="str">
        <f t="shared" si="71"/>
        <v>1.5</v>
      </c>
      <c r="E2231" t="s">
        <v>1760</v>
      </c>
      <c r="F2231">
        <v>198501</v>
      </c>
      <c r="G2231">
        <v>199012</v>
      </c>
      <c r="H2231">
        <v>63</v>
      </c>
      <c r="I2231">
        <v>85</v>
      </c>
      <c r="J2231">
        <v>1488</v>
      </c>
      <c r="K2231">
        <v>4906484</v>
      </c>
      <c r="L2231" t="s">
        <v>449</v>
      </c>
      <c r="M2231" t="str">
        <f>"K11847"</f>
        <v>K11847</v>
      </c>
      <c r="N2231" t="str">
        <f>"K11847"</f>
        <v>K11847</v>
      </c>
      <c r="O2231" t="str">
        <f>""</f>
        <v/>
      </c>
      <c r="P2231" t="s">
        <v>450</v>
      </c>
      <c r="Q2231" t="str">
        <f>"8435392014229"</f>
        <v>8435392014229</v>
      </c>
      <c r="R2231" t="s">
        <v>451</v>
      </c>
      <c r="S2231" t="s">
        <v>454</v>
      </c>
      <c r="T2231" s="1" t="s">
        <v>452</v>
      </c>
      <c r="U2231">
        <v>191</v>
      </c>
      <c r="V2231" t="s">
        <v>450</v>
      </c>
      <c r="W2231" t="s">
        <v>453</v>
      </c>
      <c r="X2231" t="s">
        <v>211</v>
      </c>
    </row>
    <row r="2232" spans="1:25">
      <c r="A2232">
        <v>13532</v>
      </c>
      <c r="B2232" t="s">
        <v>25</v>
      </c>
      <c r="C2232" t="str">
        <f t="shared" si="70"/>
        <v>INTEGRA Hatchback</v>
      </c>
      <c r="D2232" t="str">
        <f t="shared" si="71"/>
        <v>1.5</v>
      </c>
      <c r="E2232" t="s">
        <v>1760</v>
      </c>
      <c r="F2232">
        <v>198501</v>
      </c>
      <c r="G2232">
        <v>199012</v>
      </c>
      <c r="H2232">
        <v>63</v>
      </c>
      <c r="I2232">
        <v>85</v>
      </c>
      <c r="J2232">
        <v>1488</v>
      </c>
      <c r="K2232">
        <v>4898277</v>
      </c>
      <c r="L2232" t="s">
        <v>449</v>
      </c>
      <c r="M2232" t="str">
        <f>"0912"</f>
        <v>0912</v>
      </c>
      <c r="N2232" t="str">
        <f>"0912"</f>
        <v>0912</v>
      </c>
      <c r="O2232" t="str">
        <f>""</f>
        <v/>
      </c>
      <c r="P2232" t="s">
        <v>455</v>
      </c>
      <c r="Q2232" t="str">
        <f>"8435329504960"</f>
        <v>8435329504960</v>
      </c>
      <c r="R2232" t="s">
        <v>456</v>
      </c>
      <c r="T2232" t="s">
        <v>457</v>
      </c>
      <c r="U2232">
        <v>193</v>
      </c>
      <c r="V2232" t="s">
        <v>455</v>
      </c>
      <c r="W2232" t="s">
        <v>453</v>
      </c>
      <c r="X2232" t="s">
        <v>49</v>
      </c>
      <c r="Y2232" t="s">
        <v>50</v>
      </c>
    </row>
    <row r="2233" spans="1:25">
      <c r="A2233">
        <v>13532</v>
      </c>
      <c r="B2233" t="s">
        <v>25</v>
      </c>
      <c r="C2233" t="str">
        <f t="shared" si="70"/>
        <v>INTEGRA Hatchback</v>
      </c>
      <c r="D2233" t="str">
        <f t="shared" si="71"/>
        <v>1.5</v>
      </c>
      <c r="E2233" t="s">
        <v>1760</v>
      </c>
      <c r="F2233">
        <v>198501</v>
      </c>
      <c r="G2233">
        <v>199012</v>
      </c>
      <c r="H2233">
        <v>63</v>
      </c>
      <c r="I2233">
        <v>85</v>
      </c>
      <c r="J2233">
        <v>1488</v>
      </c>
      <c r="K2233">
        <v>4906835</v>
      </c>
      <c r="L2233" t="s">
        <v>449</v>
      </c>
      <c r="M2233" t="str">
        <f>"K912"</f>
        <v>K912</v>
      </c>
      <c r="N2233" t="str">
        <f>"K912"</f>
        <v>K912</v>
      </c>
      <c r="O2233" t="str">
        <f>""</f>
        <v/>
      </c>
      <c r="P2233" t="s">
        <v>455</v>
      </c>
      <c r="Q2233" t="str">
        <f>"8435329556877"</f>
        <v>8435329556877</v>
      </c>
      <c r="R2233" t="s">
        <v>456</v>
      </c>
      <c r="S2233" t="s">
        <v>454</v>
      </c>
      <c r="T2233" t="s">
        <v>457</v>
      </c>
      <c r="U2233">
        <v>193</v>
      </c>
      <c r="V2233" t="s">
        <v>455</v>
      </c>
      <c r="W2233" t="s">
        <v>453</v>
      </c>
      <c r="X2233" t="s">
        <v>49</v>
      </c>
      <c r="Y2233" t="s">
        <v>50</v>
      </c>
    </row>
    <row r="2234" spans="1:25">
      <c r="A2234">
        <v>13532</v>
      </c>
      <c r="B2234" t="s">
        <v>25</v>
      </c>
      <c r="C2234" t="str">
        <f t="shared" si="70"/>
        <v>INTEGRA Hatchback</v>
      </c>
      <c r="D2234" t="str">
        <f t="shared" si="71"/>
        <v>1.5</v>
      </c>
      <c r="E2234" t="s">
        <v>1760</v>
      </c>
      <c r="F2234">
        <v>198501</v>
      </c>
      <c r="G2234">
        <v>199012</v>
      </c>
      <c r="H2234">
        <v>63</v>
      </c>
      <c r="I2234">
        <v>85</v>
      </c>
      <c r="J2234">
        <v>1488</v>
      </c>
      <c r="K2234">
        <v>458543</v>
      </c>
      <c r="L2234" t="s">
        <v>33</v>
      </c>
      <c r="M2234" t="str">
        <f>"J2863004"</f>
        <v>J2863004</v>
      </c>
      <c r="N2234" t="str">
        <f>"J2863004"</f>
        <v>J2863004</v>
      </c>
      <c r="O2234" t="str">
        <f>""</f>
        <v/>
      </c>
      <c r="P2234" t="s">
        <v>458</v>
      </c>
      <c r="Q2234" t="str">
        <f>"8711768047924"</f>
        <v>8711768047924</v>
      </c>
      <c r="R2234" t="s">
        <v>459</v>
      </c>
      <c r="S2234" t="s">
        <v>460</v>
      </c>
      <c r="T2234" s="1" t="s">
        <v>461</v>
      </c>
      <c r="U2234">
        <v>194</v>
      </c>
      <c r="V2234" t="s">
        <v>458</v>
      </c>
      <c r="W2234" t="s">
        <v>462</v>
      </c>
      <c r="X2234" t="s">
        <v>49</v>
      </c>
      <c r="Y2234" t="s">
        <v>50</v>
      </c>
    </row>
    <row r="2235" spans="1:25">
      <c r="A2235">
        <v>13532</v>
      </c>
      <c r="B2235" t="s">
        <v>25</v>
      </c>
      <c r="C2235" t="str">
        <f t="shared" si="70"/>
        <v>INTEGRA Hatchback</v>
      </c>
      <c r="D2235" t="str">
        <f t="shared" si="71"/>
        <v>1.5</v>
      </c>
      <c r="E2235" t="s">
        <v>1760</v>
      </c>
      <c r="F2235">
        <v>198501</v>
      </c>
      <c r="G2235">
        <v>199012</v>
      </c>
      <c r="H2235">
        <v>63</v>
      </c>
      <c r="I2235">
        <v>85</v>
      </c>
      <c r="J2235">
        <v>1488</v>
      </c>
      <c r="K2235">
        <v>459181</v>
      </c>
      <c r="L2235" t="s">
        <v>33</v>
      </c>
      <c r="M2235" t="str">
        <f>"J2884012"</f>
        <v>J2884012</v>
      </c>
      <c r="N2235" t="str">
        <f>"J2884012"</f>
        <v>J2884012</v>
      </c>
      <c r="O2235" t="str">
        <f>""</f>
        <v/>
      </c>
      <c r="P2235" t="s">
        <v>458</v>
      </c>
      <c r="Q2235" t="str">
        <f>"8711768048396"</f>
        <v>8711768048396</v>
      </c>
      <c r="R2235" t="s">
        <v>463</v>
      </c>
      <c r="S2235" t="s">
        <v>464</v>
      </c>
      <c r="T2235" t="s">
        <v>465</v>
      </c>
      <c r="U2235">
        <v>194</v>
      </c>
      <c r="V2235" t="s">
        <v>458</v>
      </c>
      <c r="W2235" t="s">
        <v>462</v>
      </c>
      <c r="X2235" t="s">
        <v>49</v>
      </c>
      <c r="Y2235" t="s">
        <v>50</v>
      </c>
    </row>
    <row r="2236" spans="1:25">
      <c r="A2236">
        <v>13532</v>
      </c>
      <c r="B2236" t="s">
        <v>25</v>
      </c>
      <c r="C2236" t="str">
        <f t="shared" si="70"/>
        <v>INTEGRA Hatchback</v>
      </c>
      <c r="D2236" t="str">
        <f t="shared" si="71"/>
        <v>1.5</v>
      </c>
      <c r="E2236" t="s">
        <v>1760</v>
      </c>
      <c r="F2236">
        <v>198501</v>
      </c>
      <c r="G2236">
        <v>199012</v>
      </c>
      <c r="H2236">
        <v>63</v>
      </c>
      <c r="I2236">
        <v>85</v>
      </c>
      <c r="J2236">
        <v>1488</v>
      </c>
      <c r="K2236">
        <v>3953758</v>
      </c>
      <c r="L2236" t="s">
        <v>27</v>
      </c>
      <c r="M2236" t="str">
        <f>"08582004"</f>
        <v>08582004</v>
      </c>
      <c r="N2236" t="str">
        <f>"0858-2004"</f>
        <v>0858-2004</v>
      </c>
      <c r="O2236" t="str">
        <f>""</f>
        <v/>
      </c>
      <c r="P2236" t="s">
        <v>458</v>
      </c>
      <c r="Q2236" t="str">
        <f>"8718993025789"</f>
        <v>8718993025789</v>
      </c>
      <c r="R2236" t="s">
        <v>466</v>
      </c>
      <c r="S2236" t="s">
        <v>424</v>
      </c>
      <c r="T2236" s="1" t="s">
        <v>467</v>
      </c>
      <c r="U2236">
        <v>194</v>
      </c>
      <c r="V2236" t="s">
        <v>458</v>
      </c>
      <c r="W2236" t="s">
        <v>462</v>
      </c>
      <c r="X2236" t="s">
        <v>49</v>
      </c>
      <c r="Y2236" t="s">
        <v>50</v>
      </c>
    </row>
    <row r="2237" spans="1:25">
      <c r="A2237">
        <v>13532</v>
      </c>
      <c r="B2237" t="s">
        <v>25</v>
      </c>
      <c r="C2237" t="str">
        <f t="shared" si="70"/>
        <v>INTEGRA Hatchback</v>
      </c>
      <c r="D2237" t="str">
        <f t="shared" si="71"/>
        <v>1.5</v>
      </c>
      <c r="E2237" t="s">
        <v>1760</v>
      </c>
      <c r="F2237">
        <v>198501</v>
      </c>
      <c r="G2237">
        <v>199012</v>
      </c>
      <c r="H2237">
        <v>63</v>
      </c>
      <c r="I2237">
        <v>85</v>
      </c>
      <c r="J2237">
        <v>1488</v>
      </c>
      <c r="K2237">
        <v>3968736</v>
      </c>
      <c r="L2237" t="s">
        <v>27</v>
      </c>
      <c r="M2237" t="str">
        <f>"M16805"</f>
        <v>M16805</v>
      </c>
      <c r="N2237" t="str">
        <f>"M168-05"</f>
        <v>M168-05</v>
      </c>
      <c r="O2237" t="str">
        <f>""</f>
        <v/>
      </c>
      <c r="P2237" t="s">
        <v>458</v>
      </c>
      <c r="Q2237" t="str">
        <f>"8718993277232"</f>
        <v>8718993277232</v>
      </c>
      <c r="R2237" t="s">
        <v>468</v>
      </c>
      <c r="T2237" s="1" t="s">
        <v>469</v>
      </c>
      <c r="U2237">
        <v>194</v>
      </c>
      <c r="V2237" t="s">
        <v>458</v>
      </c>
      <c r="W2237" t="s">
        <v>462</v>
      </c>
      <c r="X2237" t="s">
        <v>49</v>
      </c>
      <c r="Y2237" t="s">
        <v>50</v>
      </c>
    </row>
    <row r="2238" spans="1:25">
      <c r="A2238">
        <v>13532</v>
      </c>
      <c r="B2238" t="s">
        <v>25</v>
      </c>
      <c r="C2238" t="str">
        <f t="shared" si="70"/>
        <v>INTEGRA Hatchback</v>
      </c>
      <c r="D2238" t="str">
        <f t="shared" si="71"/>
        <v>1.5</v>
      </c>
      <c r="E2238" t="s">
        <v>1760</v>
      </c>
      <c r="F2238">
        <v>198501</v>
      </c>
      <c r="G2238">
        <v>199012</v>
      </c>
      <c r="H2238">
        <v>63</v>
      </c>
      <c r="I2238">
        <v>85</v>
      </c>
      <c r="J2238">
        <v>1488</v>
      </c>
      <c r="K2238">
        <v>4531095</v>
      </c>
      <c r="L2238" t="s">
        <v>59</v>
      </c>
      <c r="M2238" t="str">
        <f>"21990024"</f>
        <v>21990024</v>
      </c>
      <c r="N2238" t="str">
        <f>"21-990024"</f>
        <v>21-990024</v>
      </c>
      <c r="O2238" t="str">
        <f>""</f>
        <v/>
      </c>
      <c r="P2238" t="s">
        <v>458</v>
      </c>
      <c r="Q2238" t="str">
        <f>""</f>
        <v/>
      </c>
      <c r="R2238" t="s">
        <v>470</v>
      </c>
      <c r="S2238" t="s">
        <v>61</v>
      </c>
      <c r="T2238" t="s">
        <v>471</v>
      </c>
      <c r="U2238">
        <v>194</v>
      </c>
      <c r="V2238" t="s">
        <v>458</v>
      </c>
      <c r="W2238" t="s">
        <v>462</v>
      </c>
      <c r="X2238" t="s">
        <v>49</v>
      </c>
      <c r="Y2238" t="s">
        <v>50</v>
      </c>
    </row>
    <row r="2239" spans="1:25">
      <c r="A2239">
        <v>13532</v>
      </c>
      <c r="B2239" t="s">
        <v>25</v>
      </c>
      <c r="C2239" t="str">
        <f t="shared" si="70"/>
        <v>INTEGRA Hatchback</v>
      </c>
      <c r="D2239" t="str">
        <f t="shared" si="71"/>
        <v>1.5</v>
      </c>
      <c r="E2239" t="s">
        <v>1760</v>
      </c>
      <c r="F2239">
        <v>198501</v>
      </c>
      <c r="G2239">
        <v>199012</v>
      </c>
      <c r="H2239">
        <v>63</v>
      </c>
      <c r="I2239">
        <v>85</v>
      </c>
      <c r="J2239">
        <v>1488</v>
      </c>
      <c r="K2239">
        <v>4641729</v>
      </c>
      <c r="L2239" t="s">
        <v>472</v>
      </c>
      <c r="M2239" t="str">
        <f>"G54003PC"</f>
        <v>G54003PC</v>
      </c>
      <c r="N2239" t="str">
        <f>"G54003PC"</f>
        <v>G54003PC</v>
      </c>
      <c r="O2239" t="str">
        <f>""</f>
        <v/>
      </c>
      <c r="P2239" t="s">
        <v>458</v>
      </c>
      <c r="Q2239" t="str">
        <f>""</f>
        <v/>
      </c>
      <c r="R2239" t="s">
        <v>473</v>
      </c>
      <c r="S2239" t="s">
        <v>474</v>
      </c>
      <c r="T2239" s="1" t="s">
        <v>475</v>
      </c>
      <c r="U2239">
        <v>194</v>
      </c>
      <c r="V2239" t="s">
        <v>458</v>
      </c>
      <c r="W2239" t="s">
        <v>462</v>
      </c>
      <c r="X2239" t="s">
        <v>49</v>
      </c>
      <c r="Y2239" t="s">
        <v>50</v>
      </c>
    </row>
    <row r="2240" spans="1:25">
      <c r="A2240">
        <v>13532</v>
      </c>
      <c r="B2240" t="s">
        <v>25</v>
      </c>
      <c r="C2240" t="str">
        <f t="shared" si="70"/>
        <v>INTEGRA Hatchback</v>
      </c>
      <c r="D2240" t="str">
        <f t="shared" si="71"/>
        <v>1.5</v>
      </c>
      <c r="E2240" t="s">
        <v>1760</v>
      </c>
      <c r="F2240">
        <v>198501</v>
      </c>
      <c r="G2240">
        <v>199012</v>
      </c>
      <c r="H2240">
        <v>63</v>
      </c>
      <c r="I2240">
        <v>85</v>
      </c>
      <c r="J2240">
        <v>1488</v>
      </c>
      <c r="K2240">
        <v>3028703</v>
      </c>
      <c r="L2240" t="s">
        <v>33</v>
      </c>
      <c r="M2240" t="str">
        <f>"J2844001"</f>
        <v>J2844001</v>
      </c>
      <c r="N2240" t="str">
        <f>"J2844001"</f>
        <v>J2844001</v>
      </c>
      <c r="O2240" t="str">
        <f>""</f>
        <v/>
      </c>
      <c r="P2240" t="s">
        <v>476</v>
      </c>
      <c r="Q2240" t="str">
        <f>"8711768116781"</f>
        <v>8711768116781</v>
      </c>
      <c r="R2240" t="s">
        <v>451</v>
      </c>
      <c r="S2240" t="s">
        <v>477</v>
      </c>
      <c r="T2240" s="1" t="s">
        <v>478</v>
      </c>
      <c r="U2240">
        <v>195</v>
      </c>
      <c r="V2240" t="s">
        <v>476</v>
      </c>
      <c r="W2240" t="s">
        <v>462</v>
      </c>
      <c r="X2240" t="s">
        <v>211</v>
      </c>
    </row>
    <row r="2241" spans="1:25">
      <c r="A2241">
        <v>13532</v>
      </c>
      <c r="B2241" t="s">
        <v>25</v>
      </c>
      <c r="C2241" t="str">
        <f t="shared" si="70"/>
        <v>INTEGRA Hatchback</v>
      </c>
      <c r="D2241" t="str">
        <f t="shared" si="71"/>
        <v>1.5</v>
      </c>
      <c r="E2241" t="s">
        <v>1760</v>
      </c>
      <c r="F2241">
        <v>198501</v>
      </c>
      <c r="G2241">
        <v>199012</v>
      </c>
      <c r="H2241">
        <v>63</v>
      </c>
      <c r="I2241">
        <v>85</v>
      </c>
      <c r="J2241">
        <v>1488</v>
      </c>
      <c r="K2241">
        <v>4642241</v>
      </c>
      <c r="L2241" t="s">
        <v>472</v>
      </c>
      <c r="M2241" t="str">
        <f>"I64001PC"</f>
        <v>I64001PC</v>
      </c>
      <c r="N2241" t="str">
        <f>"I64001PC"</f>
        <v>I64001PC</v>
      </c>
      <c r="O2241" t="str">
        <f>""</f>
        <v/>
      </c>
      <c r="P2241" t="s">
        <v>476</v>
      </c>
      <c r="Q2241" t="str">
        <f>""</f>
        <v/>
      </c>
      <c r="R2241" t="s">
        <v>479</v>
      </c>
      <c r="S2241" t="s">
        <v>477</v>
      </c>
      <c r="T2241" s="1" t="s">
        <v>480</v>
      </c>
      <c r="U2241">
        <v>195</v>
      </c>
      <c r="V2241" t="s">
        <v>476</v>
      </c>
      <c r="W2241" t="s">
        <v>462</v>
      </c>
      <c r="X2241" t="s">
        <v>211</v>
      </c>
    </row>
    <row r="2242" spans="1:25">
      <c r="A2242">
        <v>13532</v>
      </c>
      <c r="B2242" t="s">
        <v>25</v>
      </c>
      <c r="C2242" t="str">
        <f t="shared" si="70"/>
        <v>INTEGRA Hatchback</v>
      </c>
      <c r="D2242" t="str">
        <f t="shared" si="71"/>
        <v>1.5</v>
      </c>
      <c r="E2242" t="s">
        <v>1760</v>
      </c>
      <c r="F2242">
        <v>198501</v>
      </c>
      <c r="G2242">
        <v>199012</v>
      </c>
      <c r="H2242">
        <v>63</v>
      </c>
      <c r="I2242">
        <v>85</v>
      </c>
      <c r="J2242">
        <v>1488</v>
      </c>
      <c r="K2242">
        <v>700319</v>
      </c>
      <c r="L2242" t="s">
        <v>46</v>
      </c>
      <c r="M2242" t="str">
        <f>"AC1001"</f>
        <v>AC1001</v>
      </c>
      <c r="N2242" t="str">
        <f>"AC1001"</f>
        <v>AC1001</v>
      </c>
      <c r="O2242" t="str">
        <f>""</f>
        <v/>
      </c>
      <c r="P2242" t="s">
        <v>488</v>
      </c>
      <c r="Q2242" t="str">
        <f>""</f>
        <v/>
      </c>
      <c r="U2242">
        <v>236</v>
      </c>
      <c r="V2242" t="s">
        <v>488</v>
      </c>
      <c r="W2242" t="s">
        <v>210</v>
      </c>
      <c r="X2242" t="s">
        <v>49</v>
      </c>
      <c r="Y2242" t="s">
        <v>50</v>
      </c>
    </row>
    <row r="2243" spans="1:25">
      <c r="A2243">
        <v>13532</v>
      </c>
      <c r="B2243" t="s">
        <v>25</v>
      </c>
      <c r="C2243" t="str">
        <f t="shared" si="70"/>
        <v>INTEGRA Hatchback</v>
      </c>
      <c r="D2243" t="str">
        <f t="shared" si="71"/>
        <v>1.5</v>
      </c>
      <c r="E2243" t="s">
        <v>1760</v>
      </c>
      <c r="F2243">
        <v>198501</v>
      </c>
      <c r="G2243">
        <v>199012</v>
      </c>
      <c r="H2243">
        <v>63</v>
      </c>
      <c r="I2243">
        <v>85</v>
      </c>
      <c r="J2243">
        <v>1488</v>
      </c>
      <c r="K2243">
        <v>700321</v>
      </c>
      <c r="L2243" t="s">
        <v>46</v>
      </c>
      <c r="M2243" t="str">
        <f>"AC1002"</f>
        <v>AC1002</v>
      </c>
      <c r="N2243" t="str">
        <f>"AC1002"</f>
        <v>AC1002</v>
      </c>
      <c r="O2243" t="str">
        <f>""</f>
        <v/>
      </c>
      <c r="P2243" t="s">
        <v>488</v>
      </c>
      <c r="Q2243" t="str">
        <f>""</f>
        <v/>
      </c>
      <c r="U2243">
        <v>236</v>
      </c>
      <c r="V2243" t="s">
        <v>488</v>
      </c>
      <c r="W2243" t="s">
        <v>210</v>
      </c>
      <c r="X2243" t="s">
        <v>49</v>
      </c>
      <c r="Y2243" t="s">
        <v>50</v>
      </c>
    </row>
    <row r="2244" spans="1:25">
      <c r="A2244">
        <v>13532</v>
      </c>
      <c r="B2244" t="s">
        <v>25</v>
      </c>
      <c r="C2244" t="str">
        <f t="shared" si="70"/>
        <v>INTEGRA Hatchback</v>
      </c>
      <c r="D2244" t="str">
        <f t="shared" si="71"/>
        <v>1.5</v>
      </c>
      <c r="E2244" t="s">
        <v>1760</v>
      </c>
      <c r="F2244">
        <v>198501</v>
      </c>
      <c r="G2244">
        <v>199012</v>
      </c>
      <c r="H2244">
        <v>63</v>
      </c>
      <c r="I2244">
        <v>85</v>
      </c>
      <c r="J2244">
        <v>1488</v>
      </c>
      <c r="K2244">
        <v>2292899</v>
      </c>
      <c r="L2244" t="s">
        <v>489</v>
      </c>
      <c r="M2244" t="str">
        <f>"DRC43001"</f>
        <v>DRC43001</v>
      </c>
      <c r="N2244" t="str">
        <f>"DRC43001"</f>
        <v>DRC43001</v>
      </c>
      <c r="O2244" t="str">
        <f>""</f>
        <v/>
      </c>
      <c r="P2244" t="s">
        <v>488</v>
      </c>
      <c r="Q2244" t="str">
        <f>""</f>
        <v/>
      </c>
      <c r="U2244">
        <v>236</v>
      </c>
      <c r="V2244" t="s">
        <v>488</v>
      </c>
      <c r="W2244" t="s">
        <v>210</v>
      </c>
      <c r="X2244" t="s">
        <v>49</v>
      </c>
      <c r="Y2244" t="s">
        <v>50</v>
      </c>
    </row>
    <row r="2245" spans="1:25">
      <c r="A2245">
        <v>13532</v>
      </c>
      <c r="B2245" t="s">
        <v>25</v>
      </c>
      <c r="C2245" t="str">
        <f t="shared" si="70"/>
        <v>INTEGRA Hatchback</v>
      </c>
      <c r="D2245" t="str">
        <f t="shared" si="71"/>
        <v>1.5</v>
      </c>
      <c r="E2245" t="s">
        <v>1760</v>
      </c>
      <c r="F2245">
        <v>198501</v>
      </c>
      <c r="G2245">
        <v>199012</v>
      </c>
      <c r="H2245">
        <v>63</v>
      </c>
      <c r="I2245">
        <v>85</v>
      </c>
      <c r="J2245">
        <v>1488</v>
      </c>
      <c r="K2245">
        <v>2292900</v>
      </c>
      <c r="L2245" t="s">
        <v>489</v>
      </c>
      <c r="M2245" t="str">
        <f>"DRC43001K"</f>
        <v>DRC43001K</v>
      </c>
      <c r="N2245" t="str">
        <f>"DRC43001K"</f>
        <v>DRC43001K</v>
      </c>
      <c r="O2245" t="str">
        <f>""</f>
        <v/>
      </c>
      <c r="P2245" t="s">
        <v>488</v>
      </c>
      <c r="Q2245" t="str">
        <f>""</f>
        <v/>
      </c>
      <c r="U2245">
        <v>236</v>
      </c>
      <c r="V2245" t="s">
        <v>488</v>
      </c>
      <c r="W2245" t="s">
        <v>210</v>
      </c>
      <c r="X2245" t="s">
        <v>49</v>
      </c>
      <c r="Y2245" t="s">
        <v>50</v>
      </c>
    </row>
    <row r="2246" spans="1:25">
      <c r="A2246">
        <v>13532</v>
      </c>
      <c r="B2246" t="s">
        <v>25</v>
      </c>
      <c r="C2246" t="str">
        <f t="shared" ref="C2246:C2309" si="72">"INTEGRA Hatchback"</f>
        <v>INTEGRA Hatchback</v>
      </c>
      <c r="D2246" t="str">
        <f t="shared" ref="D2246:D2309" si="73">"1.5"</f>
        <v>1.5</v>
      </c>
      <c r="E2246" t="s">
        <v>1760</v>
      </c>
      <c r="F2246">
        <v>198501</v>
      </c>
      <c r="G2246">
        <v>199012</v>
      </c>
      <c r="H2246">
        <v>63</v>
      </c>
      <c r="I2246">
        <v>85</v>
      </c>
      <c r="J2246">
        <v>1488</v>
      </c>
      <c r="K2246">
        <v>2292901</v>
      </c>
      <c r="L2246" t="s">
        <v>489</v>
      </c>
      <c r="M2246" t="str">
        <f>"DRC43002"</f>
        <v>DRC43002</v>
      </c>
      <c r="N2246" t="str">
        <f>"DRC43002"</f>
        <v>DRC43002</v>
      </c>
      <c r="O2246" t="str">
        <f>""</f>
        <v/>
      </c>
      <c r="P2246" t="s">
        <v>488</v>
      </c>
      <c r="Q2246" t="str">
        <f>""</f>
        <v/>
      </c>
      <c r="U2246">
        <v>236</v>
      </c>
      <c r="V2246" t="s">
        <v>488</v>
      </c>
      <c r="W2246" t="s">
        <v>210</v>
      </c>
      <c r="X2246" t="s">
        <v>49</v>
      </c>
      <c r="Y2246" t="s">
        <v>50</v>
      </c>
    </row>
    <row r="2247" spans="1:25">
      <c r="A2247">
        <v>13532</v>
      </c>
      <c r="B2247" t="s">
        <v>25</v>
      </c>
      <c r="C2247" t="str">
        <f t="shared" si="72"/>
        <v>INTEGRA Hatchback</v>
      </c>
      <c r="D2247" t="str">
        <f t="shared" si="73"/>
        <v>1.5</v>
      </c>
      <c r="E2247" t="s">
        <v>1760</v>
      </c>
      <c r="F2247">
        <v>198501</v>
      </c>
      <c r="G2247">
        <v>199012</v>
      </c>
      <c r="H2247">
        <v>63</v>
      </c>
      <c r="I2247">
        <v>85</v>
      </c>
      <c r="J2247">
        <v>1488</v>
      </c>
      <c r="K2247">
        <v>2292902</v>
      </c>
      <c r="L2247" t="s">
        <v>489</v>
      </c>
      <c r="M2247" t="str">
        <f>"DRC43002K"</f>
        <v>DRC43002K</v>
      </c>
      <c r="N2247" t="str">
        <f>"DRC43002K"</f>
        <v>DRC43002K</v>
      </c>
      <c r="O2247" t="str">
        <f>""</f>
        <v/>
      </c>
      <c r="P2247" t="s">
        <v>488</v>
      </c>
      <c r="Q2247" t="str">
        <f>""</f>
        <v/>
      </c>
      <c r="U2247">
        <v>236</v>
      </c>
      <c r="V2247" t="s">
        <v>488</v>
      </c>
      <c r="W2247" t="s">
        <v>210</v>
      </c>
      <c r="X2247" t="s">
        <v>49</v>
      </c>
      <c r="Y2247" t="s">
        <v>50</v>
      </c>
    </row>
    <row r="2248" spans="1:25">
      <c r="A2248">
        <v>13532</v>
      </c>
      <c r="B2248" t="s">
        <v>25</v>
      </c>
      <c r="C2248" t="str">
        <f t="shared" si="72"/>
        <v>INTEGRA Hatchback</v>
      </c>
      <c r="D2248" t="str">
        <f t="shared" si="73"/>
        <v>1.5</v>
      </c>
      <c r="E2248" t="s">
        <v>1760</v>
      </c>
      <c r="F2248">
        <v>198501</v>
      </c>
      <c r="G2248">
        <v>199012</v>
      </c>
      <c r="H2248">
        <v>63</v>
      </c>
      <c r="I2248">
        <v>85</v>
      </c>
      <c r="J2248">
        <v>1488</v>
      </c>
      <c r="K2248">
        <v>4641301</v>
      </c>
      <c r="L2248" t="s">
        <v>472</v>
      </c>
      <c r="M2248" t="str">
        <f>"G14006PC"</f>
        <v>G14006PC</v>
      </c>
      <c r="N2248" t="str">
        <f>"G14006PC"</f>
        <v>G14006PC</v>
      </c>
      <c r="O2248" t="str">
        <f>""</f>
        <v/>
      </c>
      <c r="P2248" t="s">
        <v>488</v>
      </c>
      <c r="Q2248" t="str">
        <f>""</f>
        <v/>
      </c>
      <c r="R2248" t="s">
        <v>490</v>
      </c>
      <c r="S2248" t="s">
        <v>491</v>
      </c>
      <c r="T2248" s="1" t="s">
        <v>492</v>
      </c>
      <c r="U2248">
        <v>236</v>
      </c>
      <c r="V2248" t="s">
        <v>488</v>
      </c>
      <c r="W2248" t="s">
        <v>210</v>
      </c>
      <c r="X2248" t="s">
        <v>49</v>
      </c>
      <c r="Y2248" t="s">
        <v>50</v>
      </c>
    </row>
    <row r="2249" spans="1:25">
      <c r="A2249">
        <v>13532</v>
      </c>
      <c r="B2249" t="s">
        <v>25</v>
      </c>
      <c r="C2249" t="str">
        <f t="shared" si="72"/>
        <v>INTEGRA Hatchback</v>
      </c>
      <c r="D2249" t="str">
        <f t="shared" si="73"/>
        <v>1.5</v>
      </c>
      <c r="E2249" t="s">
        <v>1760</v>
      </c>
      <c r="F2249">
        <v>198501</v>
      </c>
      <c r="G2249">
        <v>199012</v>
      </c>
      <c r="H2249">
        <v>63</v>
      </c>
      <c r="I2249">
        <v>85</v>
      </c>
      <c r="J2249">
        <v>1488</v>
      </c>
      <c r="K2249">
        <v>3031448</v>
      </c>
      <c r="L2249" t="s">
        <v>33</v>
      </c>
      <c r="M2249" t="str">
        <f>"J4234024"</f>
        <v>J4234024</v>
      </c>
      <c r="N2249" t="str">
        <f>"J4234024"</f>
        <v>J4234024</v>
      </c>
      <c r="O2249" t="str">
        <f>""</f>
        <v/>
      </c>
      <c r="P2249" t="s">
        <v>493</v>
      </c>
      <c r="Q2249" t="str">
        <f>"8711768051426"</f>
        <v>8711768051426</v>
      </c>
      <c r="S2249" t="s">
        <v>494</v>
      </c>
      <c r="T2249" t="s">
        <v>495</v>
      </c>
      <c r="U2249">
        <v>251</v>
      </c>
      <c r="V2249" t="s">
        <v>493</v>
      </c>
      <c r="W2249" t="s">
        <v>496</v>
      </c>
      <c r="X2249" t="s">
        <v>497</v>
      </c>
      <c r="Y2249" t="s">
        <v>498</v>
      </c>
    </row>
    <row r="2250" spans="1:25">
      <c r="A2250">
        <v>13532</v>
      </c>
      <c r="B2250" t="s">
        <v>25</v>
      </c>
      <c r="C2250" t="str">
        <f t="shared" si="72"/>
        <v>INTEGRA Hatchback</v>
      </c>
      <c r="D2250" t="str">
        <f t="shared" si="73"/>
        <v>1.5</v>
      </c>
      <c r="E2250" t="s">
        <v>1760</v>
      </c>
      <c r="F2250">
        <v>198501</v>
      </c>
      <c r="G2250">
        <v>199012</v>
      </c>
      <c r="H2250">
        <v>63</v>
      </c>
      <c r="I2250">
        <v>85</v>
      </c>
      <c r="J2250">
        <v>1488</v>
      </c>
      <c r="K2250">
        <v>3031449</v>
      </c>
      <c r="L2250" t="s">
        <v>33</v>
      </c>
      <c r="M2250" t="str">
        <f>"J4234025"</f>
        <v>J4234025</v>
      </c>
      <c r="N2250" t="str">
        <f>"J4234025"</f>
        <v>J4234025</v>
      </c>
      <c r="O2250" t="str">
        <f>""</f>
        <v/>
      </c>
      <c r="P2250" t="s">
        <v>493</v>
      </c>
      <c r="Q2250" t="str">
        <f>"8711768069995"</f>
        <v>8711768069995</v>
      </c>
      <c r="S2250" t="s">
        <v>499</v>
      </c>
      <c r="T2250" t="s">
        <v>500</v>
      </c>
      <c r="U2250">
        <v>251</v>
      </c>
      <c r="V2250" t="s">
        <v>493</v>
      </c>
      <c r="W2250" t="s">
        <v>496</v>
      </c>
      <c r="X2250" t="s">
        <v>497</v>
      </c>
      <c r="Y2250" t="s">
        <v>498</v>
      </c>
    </row>
    <row r="2251" spans="1:25">
      <c r="A2251">
        <v>13532</v>
      </c>
      <c r="B2251" t="s">
        <v>25</v>
      </c>
      <c r="C2251" t="str">
        <f t="shared" si="72"/>
        <v>INTEGRA Hatchback</v>
      </c>
      <c r="D2251" t="str">
        <f t="shared" si="73"/>
        <v>1.5</v>
      </c>
      <c r="E2251" t="s">
        <v>1760</v>
      </c>
      <c r="F2251">
        <v>198501</v>
      </c>
      <c r="G2251">
        <v>199012</v>
      </c>
      <c r="H2251">
        <v>63</v>
      </c>
      <c r="I2251">
        <v>85</v>
      </c>
      <c r="J2251">
        <v>1488</v>
      </c>
      <c r="K2251">
        <v>3683880</v>
      </c>
      <c r="L2251" t="s">
        <v>501</v>
      </c>
      <c r="M2251" t="str">
        <f>"514969"</f>
        <v>514969</v>
      </c>
      <c r="N2251" t="str">
        <f>"514969"</f>
        <v>514969</v>
      </c>
      <c r="O2251" t="str">
        <f>""</f>
        <v/>
      </c>
      <c r="P2251" t="s">
        <v>493</v>
      </c>
      <c r="Q2251" t="str">
        <f>""</f>
        <v/>
      </c>
      <c r="R2251" t="s">
        <v>502</v>
      </c>
      <c r="T2251" t="s">
        <v>503</v>
      </c>
      <c r="U2251">
        <v>251</v>
      </c>
      <c r="V2251" t="s">
        <v>493</v>
      </c>
      <c r="W2251" t="s">
        <v>496</v>
      </c>
      <c r="X2251" t="s">
        <v>497</v>
      </c>
      <c r="Y2251" t="s">
        <v>498</v>
      </c>
    </row>
    <row r="2252" spans="1:25">
      <c r="A2252">
        <v>13532</v>
      </c>
      <c r="B2252" t="s">
        <v>25</v>
      </c>
      <c r="C2252" t="str">
        <f t="shared" si="72"/>
        <v>INTEGRA Hatchback</v>
      </c>
      <c r="D2252" t="str">
        <f t="shared" si="73"/>
        <v>1.5</v>
      </c>
      <c r="E2252" t="s">
        <v>1760</v>
      </c>
      <c r="F2252">
        <v>198501</v>
      </c>
      <c r="G2252">
        <v>199012</v>
      </c>
      <c r="H2252">
        <v>63</v>
      </c>
      <c r="I2252">
        <v>85</v>
      </c>
      <c r="J2252">
        <v>1488</v>
      </c>
      <c r="K2252">
        <v>4239591</v>
      </c>
      <c r="L2252" t="s">
        <v>504</v>
      </c>
      <c r="M2252" t="str">
        <f>"J44002AYMT"</f>
        <v>J44002AYMT</v>
      </c>
      <c r="N2252" t="str">
        <f>"J44002AYMT"</f>
        <v>J44002AYMT</v>
      </c>
      <c r="O2252" t="str">
        <f>""</f>
        <v/>
      </c>
      <c r="P2252" t="s">
        <v>493</v>
      </c>
      <c r="Q2252" t="str">
        <f>""</f>
        <v/>
      </c>
      <c r="S2252" t="s">
        <v>505</v>
      </c>
      <c r="T2252" t="s">
        <v>506</v>
      </c>
      <c r="U2252">
        <v>251</v>
      </c>
      <c r="V2252" t="s">
        <v>493</v>
      </c>
      <c r="W2252" t="s">
        <v>496</v>
      </c>
      <c r="X2252" t="s">
        <v>497</v>
      </c>
      <c r="Y2252" t="s">
        <v>498</v>
      </c>
    </row>
    <row r="2253" spans="1:25">
      <c r="A2253">
        <v>13532</v>
      </c>
      <c r="B2253" t="s">
        <v>25</v>
      </c>
      <c r="C2253" t="str">
        <f t="shared" si="72"/>
        <v>INTEGRA Hatchback</v>
      </c>
      <c r="D2253" t="str">
        <f t="shared" si="73"/>
        <v>1.5</v>
      </c>
      <c r="E2253" t="s">
        <v>1760</v>
      </c>
      <c r="F2253">
        <v>198501</v>
      </c>
      <c r="G2253">
        <v>199012</v>
      </c>
      <c r="H2253">
        <v>63</v>
      </c>
      <c r="I2253">
        <v>85</v>
      </c>
      <c r="J2253">
        <v>1488</v>
      </c>
      <c r="K2253">
        <v>4407796</v>
      </c>
      <c r="L2253" t="s">
        <v>507</v>
      </c>
      <c r="M2253" t="str">
        <f>"8737048SX"</f>
        <v>8737048SX</v>
      </c>
      <c r="N2253" t="str">
        <f>"87-37048-SX"</f>
        <v>87-37048-SX</v>
      </c>
      <c r="O2253" t="str">
        <f>""</f>
        <v/>
      </c>
      <c r="P2253" t="s">
        <v>493</v>
      </c>
      <c r="Q2253" t="str">
        <f>""</f>
        <v/>
      </c>
      <c r="R2253" t="s">
        <v>508</v>
      </c>
      <c r="T2253" t="s">
        <v>509</v>
      </c>
      <c r="U2253">
        <v>251</v>
      </c>
      <c r="V2253" t="s">
        <v>493</v>
      </c>
      <c r="W2253" t="s">
        <v>496</v>
      </c>
      <c r="X2253" t="s">
        <v>497</v>
      </c>
      <c r="Y2253" t="s">
        <v>498</v>
      </c>
    </row>
    <row r="2254" spans="1:25">
      <c r="A2254">
        <v>13532</v>
      </c>
      <c r="B2254" t="s">
        <v>25</v>
      </c>
      <c r="C2254" t="str">
        <f t="shared" si="72"/>
        <v>INTEGRA Hatchback</v>
      </c>
      <c r="D2254" t="str">
        <f t="shared" si="73"/>
        <v>1.5</v>
      </c>
      <c r="E2254" t="s">
        <v>1760</v>
      </c>
      <c r="F2254">
        <v>198501</v>
      </c>
      <c r="G2254">
        <v>199012</v>
      </c>
      <c r="H2254">
        <v>63</v>
      </c>
      <c r="I2254">
        <v>85</v>
      </c>
      <c r="J2254">
        <v>1488</v>
      </c>
      <c r="K2254">
        <v>953972</v>
      </c>
      <c r="L2254" t="s">
        <v>218</v>
      </c>
      <c r="M2254" t="str">
        <f>"PRH3235"</f>
        <v>PRH3235</v>
      </c>
      <c r="N2254" t="str">
        <f>"PRH3235"</f>
        <v>PRH3235</v>
      </c>
      <c r="O2254" t="str">
        <f>""</f>
        <v/>
      </c>
      <c r="P2254" t="s">
        <v>510</v>
      </c>
      <c r="Q2254" t="str">
        <f>""</f>
        <v/>
      </c>
      <c r="R2254" t="s">
        <v>511</v>
      </c>
      <c r="S2254" t="s">
        <v>512</v>
      </c>
      <c r="T2254" t="s">
        <v>513</v>
      </c>
      <c r="U2254">
        <v>258</v>
      </c>
      <c r="V2254" t="s">
        <v>510</v>
      </c>
      <c r="W2254" t="s">
        <v>514</v>
      </c>
      <c r="X2254" t="s">
        <v>224</v>
      </c>
      <c r="Y2254" t="s">
        <v>510</v>
      </c>
    </row>
    <row r="2255" spans="1:25">
      <c r="A2255">
        <v>13532</v>
      </c>
      <c r="B2255" t="s">
        <v>25</v>
      </c>
      <c r="C2255" t="str">
        <f t="shared" si="72"/>
        <v>INTEGRA Hatchback</v>
      </c>
      <c r="D2255" t="str">
        <f t="shared" si="73"/>
        <v>1.5</v>
      </c>
      <c r="E2255" t="s">
        <v>1760</v>
      </c>
      <c r="F2255">
        <v>198501</v>
      </c>
      <c r="G2255">
        <v>199012</v>
      </c>
      <c r="H2255">
        <v>63</v>
      </c>
      <c r="I2255">
        <v>85</v>
      </c>
      <c r="J2255">
        <v>1488</v>
      </c>
      <c r="K2255">
        <v>1893710</v>
      </c>
      <c r="L2255" t="s">
        <v>231</v>
      </c>
      <c r="M2255" t="str">
        <f>"M28007"</f>
        <v>M28007</v>
      </c>
      <c r="N2255" t="str">
        <f>"M 28 007"</f>
        <v>M 28 007</v>
      </c>
      <c r="O2255" t="str">
        <f>""</f>
        <v/>
      </c>
      <c r="P2255" t="s">
        <v>510</v>
      </c>
      <c r="Q2255" t="str">
        <f>"8432509609736"</f>
        <v>8432509609736</v>
      </c>
      <c r="R2255" t="s">
        <v>515</v>
      </c>
      <c r="S2255" t="s">
        <v>516</v>
      </c>
      <c r="T2255" t="s">
        <v>517</v>
      </c>
      <c r="U2255">
        <v>258</v>
      </c>
      <c r="V2255" t="s">
        <v>510</v>
      </c>
      <c r="W2255" t="s">
        <v>514</v>
      </c>
      <c r="X2255" t="s">
        <v>224</v>
      </c>
      <c r="Y2255" t="s">
        <v>510</v>
      </c>
    </row>
    <row r="2256" spans="1:25">
      <c r="A2256">
        <v>13532</v>
      </c>
      <c r="B2256" t="s">
        <v>25</v>
      </c>
      <c r="C2256" t="str">
        <f t="shared" si="72"/>
        <v>INTEGRA Hatchback</v>
      </c>
      <c r="D2256" t="str">
        <f t="shared" si="73"/>
        <v>1.5</v>
      </c>
      <c r="E2256" t="s">
        <v>1760</v>
      </c>
      <c r="F2256">
        <v>198501</v>
      </c>
      <c r="G2256">
        <v>199012</v>
      </c>
      <c r="H2256">
        <v>63</v>
      </c>
      <c r="I2256">
        <v>85</v>
      </c>
      <c r="J2256">
        <v>1488</v>
      </c>
      <c r="K2256">
        <v>2021367</v>
      </c>
      <c r="L2256" t="s">
        <v>518</v>
      </c>
      <c r="M2256" t="str">
        <f>"LM60607"</f>
        <v>LM60607</v>
      </c>
      <c r="N2256" t="str">
        <f>"LM60607"</f>
        <v>LM60607</v>
      </c>
      <c r="O2256" t="str">
        <f>""</f>
        <v/>
      </c>
      <c r="P2256" t="s">
        <v>510</v>
      </c>
      <c r="Q2256" t="str">
        <f>"5012759813850"</f>
        <v>5012759813850</v>
      </c>
      <c r="R2256" t="s">
        <v>519</v>
      </c>
      <c r="S2256" t="s">
        <v>520</v>
      </c>
      <c r="T2256" s="1" t="s">
        <v>521</v>
      </c>
      <c r="U2256">
        <v>258</v>
      </c>
      <c r="V2256" t="s">
        <v>510</v>
      </c>
      <c r="W2256" t="s">
        <v>514</v>
      </c>
      <c r="X2256" t="s">
        <v>224</v>
      </c>
      <c r="Y2256" t="s">
        <v>510</v>
      </c>
    </row>
    <row r="2257" spans="1:25">
      <c r="A2257">
        <v>13532</v>
      </c>
      <c r="B2257" t="s">
        <v>25</v>
      </c>
      <c r="C2257" t="str">
        <f t="shared" si="72"/>
        <v>INTEGRA Hatchback</v>
      </c>
      <c r="D2257" t="str">
        <f t="shared" si="73"/>
        <v>1.5</v>
      </c>
      <c r="E2257" t="s">
        <v>1760</v>
      </c>
      <c r="F2257">
        <v>198501</v>
      </c>
      <c r="G2257">
        <v>199012</v>
      </c>
      <c r="H2257">
        <v>63</v>
      </c>
      <c r="I2257">
        <v>85</v>
      </c>
      <c r="J2257">
        <v>1488</v>
      </c>
      <c r="K2257">
        <v>2787244</v>
      </c>
      <c r="L2257" t="s">
        <v>236</v>
      </c>
      <c r="M2257" t="str">
        <f>"1614"</f>
        <v>1614</v>
      </c>
      <c r="N2257" t="str">
        <f>"1614"</f>
        <v>1614</v>
      </c>
      <c r="O2257" t="str">
        <f>"P21660"</f>
        <v>P21660</v>
      </c>
      <c r="P2257" t="s">
        <v>510</v>
      </c>
      <c r="Q2257" t="str">
        <f>"8032532022504"</f>
        <v>8032532022504</v>
      </c>
      <c r="R2257" t="s">
        <v>522</v>
      </c>
      <c r="S2257" t="s">
        <v>516</v>
      </c>
      <c r="T2257" s="1" t="s">
        <v>523</v>
      </c>
      <c r="U2257">
        <v>258</v>
      </c>
      <c r="V2257" t="s">
        <v>510</v>
      </c>
      <c r="W2257" t="s">
        <v>514</v>
      </c>
      <c r="X2257" t="s">
        <v>224</v>
      </c>
      <c r="Y2257" t="s">
        <v>510</v>
      </c>
    </row>
    <row r="2258" spans="1:25">
      <c r="A2258">
        <v>13532</v>
      </c>
      <c r="B2258" t="s">
        <v>25</v>
      </c>
      <c r="C2258" t="str">
        <f t="shared" si="72"/>
        <v>INTEGRA Hatchback</v>
      </c>
      <c r="D2258" t="str">
        <f t="shared" si="73"/>
        <v>1.5</v>
      </c>
      <c r="E2258" t="s">
        <v>1760</v>
      </c>
      <c r="F2258">
        <v>198501</v>
      </c>
      <c r="G2258">
        <v>199012</v>
      </c>
      <c r="H2258">
        <v>63</v>
      </c>
      <c r="I2258">
        <v>85</v>
      </c>
      <c r="J2258">
        <v>1488</v>
      </c>
      <c r="K2258">
        <v>2997222</v>
      </c>
      <c r="L2258" t="s">
        <v>51</v>
      </c>
      <c r="M2258" t="str">
        <f>"5323"</f>
        <v>5323</v>
      </c>
      <c r="N2258" t="str">
        <f>"5323"</f>
        <v>5323</v>
      </c>
      <c r="O2258" t="str">
        <f>""</f>
        <v/>
      </c>
      <c r="P2258" t="s">
        <v>510</v>
      </c>
      <c r="Q2258" t="str">
        <f>""</f>
        <v/>
      </c>
      <c r="R2258" t="s">
        <v>524</v>
      </c>
      <c r="T2258" t="s">
        <v>525</v>
      </c>
      <c r="U2258">
        <v>258</v>
      </c>
      <c r="V2258" t="s">
        <v>510</v>
      </c>
      <c r="W2258" t="s">
        <v>514</v>
      </c>
      <c r="X2258" t="s">
        <v>224</v>
      </c>
      <c r="Y2258" t="s">
        <v>510</v>
      </c>
    </row>
    <row r="2259" spans="1:25">
      <c r="A2259">
        <v>13532</v>
      </c>
      <c r="B2259" t="s">
        <v>25</v>
      </c>
      <c r="C2259" t="str">
        <f t="shared" si="72"/>
        <v>INTEGRA Hatchback</v>
      </c>
      <c r="D2259" t="str">
        <f t="shared" si="73"/>
        <v>1.5</v>
      </c>
      <c r="E2259" t="s">
        <v>1760</v>
      </c>
      <c r="F2259">
        <v>198501</v>
      </c>
      <c r="G2259">
        <v>199012</v>
      </c>
      <c r="H2259">
        <v>63</v>
      </c>
      <c r="I2259">
        <v>85</v>
      </c>
      <c r="J2259">
        <v>1488</v>
      </c>
      <c r="K2259">
        <v>3203248</v>
      </c>
      <c r="L2259" t="s">
        <v>394</v>
      </c>
      <c r="M2259" t="str">
        <f>"T2248"</f>
        <v>T2248</v>
      </c>
      <c r="N2259" t="str">
        <f>"T2248"</f>
        <v>T2248</v>
      </c>
      <c r="O2259" t="str">
        <f>""</f>
        <v/>
      </c>
      <c r="P2259" t="s">
        <v>510</v>
      </c>
      <c r="Q2259" t="str">
        <f>""</f>
        <v/>
      </c>
      <c r="R2259" t="s">
        <v>526</v>
      </c>
      <c r="T2259" t="s">
        <v>527</v>
      </c>
      <c r="U2259">
        <v>258</v>
      </c>
      <c r="V2259" t="s">
        <v>510</v>
      </c>
      <c r="W2259" t="s">
        <v>514</v>
      </c>
      <c r="X2259" t="s">
        <v>224</v>
      </c>
      <c r="Y2259" t="s">
        <v>510</v>
      </c>
    </row>
    <row r="2260" spans="1:25">
      <c r="A2260">
        <v>13532</v>
      </c>
      <c r="B2260" t="s">
        <v>25</v>
      </c>
      <c r="C2260" t="str">
        <f t="shared" si="72"/>
        <v>INTEGRA Hatchback</v>
      </c>
      <c r="D2260" t="str">
        <f t="shared" si="73"/>
        <v>1.5</v>
      </c>
      <c r="E2260" t="s">
        <v>1760</v>
      </c>
      <c r="F2260">
        <v>198501</v>
      </c>
      <c r="G2260">
        <v>199012</v>
      </c>
      <c r="H2260">
        <v>63</v>
      </c>
      <c r="I2260">
        <v>85</v>
      </c>
      <c r="J2260">
        <v>1488</v>
      </c>
      <c r="K2260">
        <v>3246802</v>
      </c>
      <c r="L2260" t="s">
        <v>199</v>
      </c>
      <c r="M2260" t="str">
        <f>"B1614"</f>
        <v>B1614</v>
      </c>
      <c r="N2260" t="str">
        <f>"B1614"</f>
        <v>B1614</v>
      </c>
      <c r="O2260" t="str">
        <f>""</f>
        <v/>
      </c>
      <c r="P2260" t="s">
        <v>510</v>
      </c>
      <c r="Q2260" t="str">
        <f>""</f>
        <v/>
      </c>
      <c r="R2260" t="s">
        <v>528</v>
      </c>
      <c r="S2260" t="s">
        <v>516</v>
      </c>
      <c r="T2260" s="1" t="s">
        <v>529</v>
      </c>
      <c r="U2260">
        <v>258</v>
      </c>
      <c r="V2260" t="s">
        <v>510</v>
      </c>
      <c r="W2260" t="s">
        <v>514</v>
      </c>
      <c r="X2260" t="s">
        <v>224</v>
      </c>
      <c r="Y2260" t="s">
        <v>510</v>
      </c>
    </row>
    <row r="2261" spans="1:25">
      <c r="A2261">
        <v>13532</v>
      </c>
      <c r="B2261" t="s">
        <v>25</v>
      </c>
      <c r="C2261" t="str">
        <f t="shared" si="72"/>
        <v>INTEGRA Hatchback</v>
      </c>
      <c r="D2261" t="str">
        <f t="shared" si="73"/>
        <v>1.5</v>
      </c>
      <c r="E2261" t="s">
        <v>1760</v>
      </c>
      <c r="F2261">
        <v>198501</v>
      </c>
      <c r="G2261">
        <v>199012</v>
      </c>
      <c r="H2261">
        <v>63</v>
      </c>
      <c r="I2261">
        <v>85</v>
      </c>
      <c r="J2261">
        <v>1488</v>
      </c>
      <c r="K2261">
        <v>4049023</v>
      </c>
      <c r="L2261" t="s">
        <v>426</v>
      </c>
      <c r="M2261" t="str">
        <f>"6212925"</f>
        <v>6212925</v>
      </c>
      <c r="N2261" t="str">
        <f>"621.2925"</f>
        <v>621.2925</v>
      </c>
      <c r="O2261" t="str">
        <f>""</f>
        <v/>
      </c>
      <c r="P2261" t="s">
        <v>510</v>
      </c>
      <c r="Q2261" t="str">
        <f>"8432509012673"</f>
        <v>8432509012673</v>
      </c>
      <c r="R2261" t="s">
        <v>530</v>
      </c>
      <c r="S2261" t="s">
        <v>531</v>
      </c>
      <c r="T2261" s="1" t="s">
        <v>532</v>
      </c>
      <c r="U2261">
        <v>258</v>
      </c>
      <c r="V2261" t="s">
        <v>510</v>
      </c>
      <c r="W2261" t="s">
        <v>514</v>
      </c>
      <c r="X2261" t="s">
        <v>224</v>
      </c>
      <c r="Y2261" t="s">
        <v>510</v>
      </c>
    </row>
    <row r="2262" spans="1:25">
      <c r="A2262">
        <v>13532</v>
      </c>
      <c r="B2262" t="s">
        <v>25</v>
      </c>
      <c r="C2262" t="str">
        <f t="shared" si="72"/>
        <v>INTEGRA Hatchback</v>
      </c>
      <c r="D2262" t="str">
        <f t="shared" si="73"/>
        <v>1.5</v>
      </c>
      <c r="E2262" t="s">
        <v>1760</v>
      </c>
      <c r="F2262">
        <v>198501</v>
      </c>
      <c r="G2262">
        <v>199012</v>
      </c>
      <c r="H2262">
        <v>63</v>
      </c>
      <c r="I2262">
        <v>85</v>
      </c>
      <c r="J2262">
        <v>1488</v>
      </c>
      <c r="K2262">
        <v>4268539</v>
      </c>
      <c r="L2262" t="s">
        <v>436</v>
      </c>
      <c r="M2262" t="str">
        <f>"AM1004"</f>
        <v>AM1004</v>
      </c>
      <c r="N2262" t="str">
        <f>"AM1004"</f>
        <v>AM1004</v>
      </c>
      <c r="O2262" t="str">
        <f>""</f>
        <v/>
      </c>
      <c r="P2262" t="s">
        <v>510</v>
      </c>
      <c r="Q2262" t="str">
        <f>""</f>
        <v/>
      </c>
      <c r="R2262" t="s">
        <v>533</v>
      </c>
      <c r="T2262" s="1" t="s">
        <v>534</v>
      </c>
      <c r="U2262">
        <v>258</v>
      </c>
      <c r="V2262" t="s">
        <v>510</v>
      </c>
      <c r="W2262" t="s">
        <v>514</v>
      </c>
      <c r="X2262" t="s">
        <v>224</v>
      </c>
      <c r="Y2262" t="s">
        <v>510</v>
      </c>
    </row>
    <row r="2263" spans="1:25">
      <c r="A2263">
        <v>13532</v>
      </c>
      <c r="B2263" t="s">
        <v>25</v>
      </c>
      <c r="C2263" t="str">
        <f t="shared" si="72"/>
        <v>INTEGRA Hatchback</v>
      </c>
      <c r="D2263" t="str">
        <f t="shared" si="73"/>
        <v>1.5</v>
      </c>
      <c r="E2263" t="s">
        <v>1760</v>
      </c>
      <c r="F2263">
        <v>198501</v>
      </c>
      <c r="G2263">
        <v>199012</v>
      </c>
      <c r="H2263">
        <v>63</v>
      </c>
      <c r="I2263">
        <v>85</v>
      </c>
      <c r="J2263">
        <v>1488</v>
      </c>
      <c r="K2263">
        <v>3032849</v>
      </c>
      <c r="L2263" t="s">
        <v>33</v>
      </c>
      <c r="M2263" t="str">
        <f>"J4904003"</f>
        <v>J4904003</v>
      </c>
      <c r="N2263" t="str">
        <f>"J4904003"</f>
        <v>J4904003</v>
      </c>
      <c r="O2263" t="str">
        <f>""</f>
        <v/>
      </c>
      <c r="P2263" t="s">
        <v>535</v>
      </c>
      <c r="Q2263" t="str">
        <f>"8711768099503"</f>
        <v>8711768099503</v>
      </c>
      <c r="R2263" t="s">
        <v>536</v>
      </c>
      <c r="S2263" t="s">
        <v>537</v>
      </c>
      <c r="T2263" s="1" t="s">
        <v>538</v>
      </c>
      <c r="U2263">
        <v>273</v>
      </c>
      <c r="V2263" t="s">
        <v>535</v>
      </c>
      <c r="W2263" t="s">
        <v>498</v>
      </c>
      <c r="X2263" t="s">
        <v>497</v>
      </c>
    </row>
    <row r="2264" spans="1:25">
      <c r="A2264">
        <v>13532</v>
      </c>
      <c r="B2264" t="s">
        <v>25</v>
      </c>
      <c r="C2264" t="str">
        <f t="shared" si="72"/>
        <v>INTEGRA Hatchback</v>
      </c>
      <c r="D2264" t="str">
        <f t="shared" si="73"/>
        <v>1.5</v>
      </c>
      <c r="E2264" t="s">
        <v>1760</v>
      </c>
      <c r="F2264">
        <v>198501</v>
      </c>
      <c r="G2264">
        <v>199012</v>
      </c>
      <c r="H2264">
        <v>63</v>
      </c>
      <c r="I2264">
        <v>85</v>
      </c>
      <c r="J2264">
        <v>1488</v>
      </c>
      <c r="K2264">
        <v>3033017</v>
      </c>
      <c r="L2264" t="s">
        <v>33</v>
      </c>
      <c r="M2264" t="str">
        <f>"J4914003"</f>
        <v>J4914003</v>
      </c>
      <c r="N2264" t="str">
        <f>"J4914003"</f>
        <v>J4914003</v>
      </c>
      <c r="O2264" t="str">
        <f>""</f>
        <v/>
      </c>
      <c r="P2264" t="s">
        <v>535</v>
      </c>
      <c r="Q2264" t="str">
        <f>"8711768100216"</f>
        <v>8711768100216</v>
      </c>
      <c r="R2264" t="s">
        <v>536</v>
      </c>
      <c r="S2264" t="s">
        <v>539</v>
      </c>
      <c r="T2264" s="1" t="s">
        <v>540</v>
      </c>
      <c r="U2264">
        <v>273</v>
      </c>
      <c r="V2264" t="s">
        <v>535</v>
      </c>
      <c r="W2264" t="s">
        <v>498</v>
      </c>
      <c r="X2264" t="s">
        <v>497</v>
      </c>
    </row>
    <row r="2265" spans="1:25">
      <c r="A2265">
        <v>13532</v>
      </c>
      <c r="B2265" t="s">
        <v>25</v>
      </c>
      <c r="C2265" t="str">
        <f t="shared" si="72"/>
        <v>INTEGRA Hatchback</v>
      </c>
      <c r="D2265" t="str">
        <f t="shared" si="73"/>
        <v>1.5</v>
      </c>
      <c r="E2265" t="s">
        <v>1760</v>
      </c>
      <c r="F2265">
        <v>198501</v>
      </c>
      <c r="G2265">
        <v>199012</v>
      </c>
      <c r="H2265">
        <v>63</v>
      </c>
      <c r="I2265">
        <v>85</v>
      </c>
      <c r="J2265">
        <v>1488</v>
      </c>
      <c r="K2265">
        <v>3964730</v>
      </c>
      <c r="L2265" t="s">
        <v>27</v>
      </c>
      <c r="M2265" t="str">
        <f>"H57901"</f>
        <v>H57901</v>
      </c>
      <c r="N2265" t="str">
        <f>"H579-01"</f>
        <v>H579-01</v>
      </c>
      <c r="O2265" t="str">
        <f>""</f>
        <v/>
      </c>
      <c r="P2265" t="s">
        <v>535</v>
      </c>
      <c r="Q2265" t="str">
        <f>"8718993218983"</f>
        <v>8718993218983</v>
      </c>
      <c r="R2265" t="s">
        <v>541</v>
      </c>
      <c r="S2265" t="s">
        <v>542</v>
      </c>
      <c r="T2265" s="1" t="s">
        <v>543</v>
      </c>
      <c r="U2265">
        <v>273</v>
      </c>
      <c r="V2265" t="s">
        <v>535</v>
      </c>
      <c r="W2265" t="s">
        <v>498</v>
      </c>
      <c r="X2265" t="s">
        <v>497</v>
      </c>
    </row>
    <row r="2266" spans="1:25">
      <c r="A2266">
        <v>13532</v>
      </c>
      <c r="B2266" t="s">
        <v>25</v>
      </c>
      <c r="C2266" t="str">
        <f t="shared" si="72"/>
        <v>INTEGRA Hatchback</v>
      </c>
      <c r="D2266" t="str">
        <f t="shared" si="73"/>
        <v>1.5</v>
      </c>
      <c r="E2266" t="s">
        <v>1760</v>
      </c>
      <c r="F2266">
        <v>198501</v>
      </c>
      <c r="G2266">
        <v>199012</v>
      </c>
      <c r="H2266">
        <v>63</v>
      </c>
      <c r="I2266">
        <v>85</v>
      </c>
      <c r="J2266">
        <v>1488</v>
      </c>
      <c r="K2266">
        <v>3964731</v>
      </c>
      <c r="L2266" t="s">
        <v>27</v>
      </c>
      <c r="M2266" t="str">
        <f>"H58001"</f>
        <v>H58001</v>
      </c>
      <c r="N2266" t="str">
        <f>"H580-01"</f>
        <v>H580-01</v>
      </c>
      <c r="O2266" t="str">
        <f>""</f>
        <v/>
      </c>
      <c r="P2266" t="s">
        <v>535</v>
      </c>
      <c r="Q2266" t="str">
        <f>"8718993218990"</f>
        <v>8718993218990</v>
      </c>
      <c r="R2266" t="s">
        <v>544</v>
      </c>
      <c r="S2266" t="s">
        <v>545</v>
      </c>
      <c r="T2266" s="1" t="s">
        <v>546</v>
      </c>
      <c r="U2266">
        <v>273</v>
      </c>
      <c r="V2266" t="s">
        <v>535</v>
      </c>
      <c r="W2266" t="s">
        <v>498</v>
      </c>
      <c r="X2266" t="s">
        <v>497</v>
      </c>
    </row>
    <row r="2267" spans="1:25">
      <c r="A2267">
        <v>13532</v>
      </c>
      <c r="B2267" t="s">
        <v>25</v>
      </c>
      <c r="C2267" t="str">
        <f t="shared" si="72"/>
        <v>INTEGRA Hatchback</v>
      </c>
      <c r="D2267" t="str">
        <f t="shared" si="73"/>
        <v>1.5</v>
      </c>
      <c r="E2267" t="s">
        <v>1760</v>
      </c>
      <c r="F2267">
        <v>198501</v>
      </c>
      <c r="G2267">
        <v>199012</v>
      </c>
      <c r="H2267">
        <v>63</v>
      </c>
      <c r="I2267">
        <v>85</v>
      </c>
      <c r="J2267">
        <v>1488</v>
      </c>
      <c r="K2267">
        <v>3029731</v>
      </c>
      <c r="L2267" t="s">
        <v>33</v>
      </c>
      <c r="M2267" t="str">
        <f>"J3234001"</f>
        <v>J3234001</v>
      </c>
      <c r="N2267" t="str">
        <f>"J3234001"</f>
        <v>J3234001</v>
      </c>
      <c r="O2267" t="str">
        <f>""</f>
        <v/>
      </c>
      <c r="P2267" t="s">
        <v>547</v>
      </c>
      <c r="Q2267" t="str">
        <f>"8711768205096"</f>
        <v>8711768205096</v>
      </c>
      <c r="R2267" t="s">
        <v>548</v>
      </c>
      <c r="S2267" t="s">
        <v>549</v>
      </c>
      <c r="T2267" s="1" t="s">
        <v>550</v>
      </c>
      <c r="U2267">
        <v>277</v>
      </c>
      <c r="V2267" t="s">
        <v>547</v>
      </c>
      <c r="W2267" t="s">
        <v>514</v>
      </c>
      <c r="X2267" t="s">
        <v>224</v>
      </c>
      <c r="Y2267" t="s">
        <v>547</v>
      </c>
    </row>
    <row r="2268" spans="1:25">
      <c r="A2268">
        <v>13532</v>
      </c>
      <c r="B2268" t="s">
        <v>25</v>
      </c>
      <c r="C2268" t="str">
        <f t="shared" si="72"/>
        <v>INTEGRA Hatchback</v>
      </c>
      <c r="D2268" t="str">
        <f t="shared" si="73"/>
        <v>1.5</v>
      </c>
      <c r="E2268" t="s">
        <v>1760</v>
      </c>
      <c r="F2268">
        <v>198501</v>
      </c>
      <c r="G2268">
        <v>199012</v>
      </c>
      <c r="H2268">
        <v>63</v>
      </c>
      <c r="I2268">
        <v>85</v>
      </c>
      <c r="J2268">
        <v>1488</v>
      </c>
      <c r="K2268">
        <v>3029839</v>
      </c>
      <c r="L2268" t="s">
        <v>33</v>
      </c>
      <c r="M2268" t="str">
        <f>"J3244000"</f>
        <v>J3244000</v>
      </c>
      <c r="N2268" t="str">
        <f>"J3244000"</f>
        <v>J3244000</v>
      </c>
      <c r="O2268" t="str">
        <f>""</f>
        <v/>
      </c>
      <c r="P2268" t="s">
        <v>547</v>
      </c>
      <c r="Q2268" t="str">
        <f>"8711768063658"</f>
        <v>8711768063658</v>
      </c>
      <c r="R2268" t="s">
        <v>548</v>
      </c>
      <c r="S2268" t="s">
        <v>551</v>
      </c>
      <c r="T2268" s="1" t="s">
        <v>552</v>
      </c>
      <c r="U2268">
        <v>277</v>
      </c>
      <c r="V2268" t="s">
        <v>547</v>
      </c>
      <c r="W2268" t="s">
        <v>514</v>
      </c>
      <c r="X2268" t="s">
        <v>224</v>
      </c>
      <c r="Y2268" t="s">
        <v>547</v>
      </c>
    </row>
    <row r="2269" spans="1:25">
      <c r="A2269">
        <v>13532</v>
      </c>
      <c r="B2269" t="s">
        <v>25</v>
      </c>
      <c r="C2269" t="str">
        <f t="shared" si="72"/>
        <v>INTEGRA Hatchback</v>
      </c>
      <c r="D2269" t="str">
        <f t="shared" si="73"/>
        <v>1.5</v>
      </c>
      <c r="E2269" t="s">
        <v>1760</v>
      </c>
      <c r="F2269">
        <v>198501</v>
      </c>
      <c r="G2269">
        <v>199012</v>
      </c>
      <c r="H2269">
        <v>63</v>
      </c>
      <c r="I2269">
        <v>85</v>
      </c>
      <c r="J2269">
        <v>1488</v>
      </c>
      <c r="K2269">
        <v>3963780</v>
      </c>
      <c r="L2269" t="s">
        <v>27</v>
      </c>
      <c r="M2269" t="str">
        <f>"H07301"</f>
        <v>H07301</v>
      </c>
      <c r="N2269" t="str">
        <f>"H073-01"</f>
        <v>H073-01</v>
      </c>
      <c r="O2269" t="str">
        <f>""</f>
        <v/>
      </c>
      <c r="P2269" t="s">
        <v>547</v>
      </c>
      <c r="Q2269" t="str">
        <f>"8718993208243"</f>
        <v>8718993208243</v>
      </c>
      <c r="R2269" t="s">
        <v>553</v>
      </c>
      <c r="S2269" t="s">
        <v>551</v>
      </c>
      <c r="T2269" s="1" t="s">
        <v>554</v>
      </c>
      <c r="U2269">
        <v>277</v>
      </c>
      <c r="V2269" t="s">
        <v>547</v>
      </c>
      <c r="W2269" t="s">
        <v>514</v>
      </c>
      <c r="X2269" t="s">
        <v>224</v>
      </c>
      <c r="Y2269" t="s">
        <v>547</v>
      </c>
    </row>
    <row r="2270" spans="1:25">
      <c r="A2270">
        <v>13532</v>
      </c>
      <c r="B2270" t="s">
        <v>25</v>
      </c>
      <c r="C2270" t="str">
        <f t="shared" si="72"/>
        <v>INTEGRA Hatchback</v>
      </c>
      <c r="D2270" t="str">
        <f t="shared" si="73"/>
        <v>1.5</v>
      </c>
      <c r="E2270" t="s">
        <v>1760</v>
      </c>
      <c r="F2270">
        <v>198501</v>
      </c>
      <c r="G2270">
        <v>199012</v>
      </c>
      <c r="H2270">
        <v>63</v>
      </c>
      <c r="I2270">
        <v>85</v>
      </c>
      <c r="J2270">
        <v>1488</v>
      </c>
      <c r="K2270">
        <v>3963781</v>
      </c>
      <c r="L2270" t="s">
        <v>27</v>
      </c>
      <c r="M2270" t="str">
        <f>"H07302"</f>
        <v>H07302</v>
      </c>
      <c r="N2270" t="str">
        <f>"H073-02"</f>
        <v>H073-02</v>
      </c>
      <c r="O2270" t="str">
        <f>""</f>
        <v/>
      </c>
      <c r="P2270" t="s">
        <v>547</v>
      </c>
      <c r="Q2270" t="str">
        <f>"8718993208250"</f>
        <v>8718993208250</v>
      </c>
      <c r="R2270" t="s">
        <v>555</v>
      </c>
      <c r="S2270" t="s">
        <v>549</v>
      </c>
      <c r="T2270" s="1" t="s">
        <v>556</v>
      </c>
      <c r="U2270">
        <v>277</v>
      </c>
      <c r="V2270" t="s">
        <v>547</v>
      </c>
      <c r="W2270" t="s">
        <v>514</v>
      </c>
      <c r="X2270" t="s">
        <v>224</v>
      </c>
      <c r="Y2270" t="s">
        <v>547</v>
      </c>
    </row>
    <row r="2271" spans="1:25">
      <c r="A2271">
        <v>13532</v>
      </c>
      <c r="B2271" t="s">
        <v>25</v>
      </c>
      <c r="C2271" t="str">
        <f t="shared" si="72"/>
        <v>INTEGRA Hatchback</v>
      </c>
      <c r="D2271" t="str">
        <f t="shared" si="73"/>
        <v>1.5</v>
      </c>
      <c r="E2271" t="s">
        <v>1760</v>
      </c>
      <c r="F2271">
        <v>198501</v>
      </c>
      <c r="G2271">
        <v>199012</v>
      </c>
      <c r="H2271">
        <v>63</v>
      </c>
      <c r="I2271">
        <v>85</v>
      </c>
      <c r="J2271">
        <v>1488</v>
      </c>
      <c r="K2271">
        <v>4200225</v>
      </c>
      <c r="L2271" t="s">
        <v>255</v>
      </c>
      <c r="M2271" t="str">
        <f>"C54001ABE"</f>
        <v>C54001ABE</v>
      </c>
      <c r="N2271" t="str">
        <f>"C54001ABE"</f>
        <v>C54001ABE</v>
      </c>
      <c r="O2271" t="str">
        <f>""</f>
        <v/>
      </c>
      <c r="P2271" t="s">
        <v>547</v>
      </c>
      <c r="Q2271" t="str">
        <f>""</f>
        <v/>
      </c>
      <c r="R2271" t="s">
        <v>557</v>
      </c>
      <c r="S2271" t="s">
        <v>549</v>
      </c>
      <c r="T2271" s="1" t="s">
        <v>558</v>
      </c>
      <c r="U2271">
        <v>277</v>
      </c>
      <c r="V2271" t="s">
        <v>547</v>
      </c>
      <c r="W2271" t="s">
        <v>514</v>
      </c>
      <c r="X2271" t="s">
        <v>224</v>
      </c>
      <c r="Y2271" t="s">
        <v>547</v>
      </c>
    </row>
    <row r="2272" spans="1:25">
      <c r="A2272">
        <v>13532</v>
      </c>
      <c r="B2272" t="s">
        <v>25</v>
      </c>
      <c r="C2272" t="str">
        <f t="shared" si="72"/>
        <v>INTEGRA Hatchback</v>
      </c>
      <c r="D2272" t="str">
        <f t="shared" si="73"/>
        <v>1.5</v>
      </c>
      <c r="E2272" t="s">
        <v>1760</v>
      </c>
      <c r="F2272">
        <v>198501</v>
      </c>
      <c r="G2272">
        <v>199012</v>
      </c>
      <c r="H2272">
        <v>63</v>
      </c>
      <c r="I2272">
        <v>85</v>
      </c>
      <c r="J2272">
        <v>1488</v>
      </c>
      <c r="K2272">
        <v>4200226</v>
      </c>
      <c r="L2272" t="s">
        <v>255</v>
      </c>
      <c r="M2272" t="str">
        <f>"C54002ABE"</f>
        <v>C54002ABE</v>
      </c>
      <c r="N2272" t="str">
        <f>"C54002ABE"</f>
        <v>C54002ABE</v>
      </c>
      <c r="O2272" t="str">
        <f>""</f>
        <v/>
      </c>
      <c r="P2272" t="s">
        <v>547</v>
      </c>
      <c r="Q2272" t="str">
        <f>""</f>
        <v/>
      </c>
      <c r="R2272" t="s">
        <v>557</v>
      </c>
      <c r="S2272" t="s">
        <v>551</v>
      </c>
      <c r="T2272" s="1" t="s">
        <v>559</v>
      </c>
      <c r="U2272">
        <v>277</v>
      </c>
      <c r="V2272" t="s">
        <v>547</v>
      </c>
      <c r="W2272" t="s">
        <v>514</v>
      </c>
      <c r="X2272" t="s">
        <v>224</v>
      </c>
      <c r="Y2272" t="s">
        <v>547</v>
      </c>
    </row>
    <row r="2273" spans="1:24">
      <c r="A2273">
        <v>13532</v>
      </c>
      <c r="B2273" t="s">
        <v>25</v>
      </c>
      <c r="C2273" t="str">
        <f t="shared" si="72"/>
        <v>INTEGRA Hatchback</v>
      </c>
      <c r="D2273" t="str">
        <f t="shared" si="73"/>
        <v>1.5</v>
      </c>
      <c r="E2273" t="s">
        <v>1760</v>
      </c>
      <c r="F2273">
        <v>198501</v>
      </c>
      <c r="G2273">
        <v>199012</v>
      </c>
      <c r="H2273">
        <v>63</v>
      </c>
      <c r="I2273">
        <v>85</v>
      </c>
      <c r="J2273">
        <v>1488</v>
      </c>
      <c r="K2273">
        <v>568766</v>
      </c>
      <c r="L2273" t="s">
        <v>560</v>
      </c>
      <c r="M2273" t="str">
        <f>"TF450L"</f>
        <v>TF450L</v>
      </c>
      <c r="N2273" t="str">
        <f>"TF450L"</f>
        <v>TF450L</v>
      </c>
      <c r="O2273" t="str">
        <f>""</f>
        <v/>
      </c>
      <c r="P2273" t="s">
        <v>561</v>
      </c>
      <c r="Q2273" t="str">
        <f>""</f>
        <v/>
      </c>
      <c r="S2273" t="s">
        <v>562</v>
      </c>
      <c r="U2273">
        <v>298</v>
      </c>
      <c r="V2273" t="s">
        <v>561</v>
      </c>
      <c r="W2273" t="s">
        <v>561</v>
      </c>
      <c r="X2273" t="s">
        <v>563</v>
      </c>
    </row>
    <row r="2274" spans="1:24">
      <c r="A2274">
        <v>13532</v>
      </c>
      <c r="B2274" t="s">
        <v>25</v>
      </c>
      <c r="C2274" t="str">
        <f t="shared" si="72"/>
        <v>INTEGRA Hatchback</v>
      </c>
      <c r="D2274" t="str">
        <f t="shared" si="73"/>
        <v>1.5</v>
      </c>
      <c r="E2274" t="s">
        <v>1760</v>
      </c>
      <c r="F2274">
        <v>198501</v>
      </c>
      <c r="G2274">
        <v>199012</v>
      </c>
      <c r="H2274">
        <v>63</v>
      </c>
      <c r="I2274">
        <v>85</v>
      </c>
      <c r="J2274">
        <v>1488</v>
      </c>
      <c r="K2274">
        <v>568767</v>
      </c>
      <c r="L2274" t="s">
        <v>560</v>
      </c>
      <c r="M2274" t="str">
        <f>"TF450R"</f>
        <v>TF450R</v>
      </c>
      <c r="N2274" t="str">
        <f>"TF450R"</f>
        <v>TF450R</v>
      </c>
      <c r="O2274" t="str">
        <f>""</f>
        <v/>
      </c>
      <c r="P2274" t="s">
        <v>561</v>
      </c>
      <c r="Q2274" t="str">
        <f>""</f>
        <v/>
      </c>
      <c r="S2274" t="s">
        <v>564</v>
      </c>
      <c r="U2274">
        <v>298</v>
      </c>
      <c r="V2274" t="s">
        <v>561</v>
      </c>
      <c r="W2274" t="s">
        <v>561</v>
      </c>
      <c r="X2274" t="s">
        <v>563</v>
      </c>
    </row>
    <row r="2275" spans="1:24">
      <c r="A2275">
        <v>13532</v>
      </c>
      <c r="B2275" t="s">
        <v>25</v>
      </c>
      <c r="C2275" t="str">
        <f t="shared" si="72"/>
        <v>INTEGRA Hatchback</v>
      </c>
      <c r="D2275" t="str">
        <f t="shared" si="73"/>
        <v>1.5</v>
      </c>
      <c r="E2275" t="s">
        <v>1760</v>
      </c>
      <c r="F2275">
        <v>198501</v>
      </c>
      <c r="G2275">
        <v>199012</v>
      </c>
      <c r="H2275">
        <v>63</v>
      </c>
      <c r="I2275">
        <v>85</v>
      </c>
      <c r="J2275">
        <v>1488</v>
      </c>
      <c r="K2275">
        <v>952409</v>
      </c>
      <c r="L2275" t="s">
        <v>218</v>
      </c>
      <c r="M2275" t="str">
        <f>"PR45"</f>
        <v>PR45</v>
      </c>
      <c r="N2275" t="str">
        <f>"PR-45"</f>
        <v>PR-45</v>
      </c>
      <c r="O2275" t="str">
        <f>""</f>
        <v/>
      </c>
      <c r="P2275" t="s">
        <v>561</v>
      </c>
      <c r="Q2275" t="str">
        <f>""</f>
        <v/>
      </c>
      <c r="R2275" t="s">
        <v>565</v>
      </c>
      <c r="S2275" t="s">
        <v>566</v>
      </c>
      <c r="T2275" s="1" t="s">
        <v>567</v>
      </c>
      <c r="U2275">
        <v>298</v>
      </c>
      <c r="V2275" t="s">
        <v>561</v>
      </c>
      <c r="W2275" t="s">
        <v>561</v>
      </c>
      <c r="X2275" t="s">
        <v>563</v>
      </c>
    </row>
    <row r="2276" spans="1:24">
      <c r="A2276">
        <v>13532</v>
      </c>
      <c r="B2276" t="s">
        <v>25</v>
      </c>
      <c r="C2276" t="str">
        <f t="shared" si="72"/>
        <v>INTEGRA Hatchback</v>
      </c>
      <c r="D2276" t="str">
        <f t="shared" si="73"/>
        <v>1.5</v>
      </c>
      <c r="E2276" t="s">
        <v>1760</v>
      </c>
      <c r="F2276">
        <v>198501</v>
      </c>
      <c r="G2276">
        <v>199012</v>
      </c>
      <c r="H2276">
        <v>63</v>
      </c>
      <c r="I2276">
        <v>85</v>
      </c>
      <c r="J2276">
        <v>1488</v>
      </c>
      <c r="K2276">
        <v>952410</v>
      </c>
      <c r="L2276" t="s">
        <v>218</v>
      </c>
      <c r="M2276" t="str">
        <f>"PR45F"</f>
        <v>PR45F</v>
      </c>
      <c r="N2276" t="str">
        <f>"PR-45F"</f>
        <v>PR-45F</v>
      </c>
      <c r="O2276" t="str">
        <f>""</f>
        <v/>
      </c>
      <c r="P2276" t="s">
        <v>561</v>
      </c>
      <c r="Q2276" t="str">
        <f>""</f>
        <v/>
      </c>
      <c r="R2276" t="s">
        <v>565</v>
      </c>
      <c r="S2276" t="s">
        <v>568</v>
      </c>
      <c r="T2276" s="1" t="s">
        <v>569</v>
      </c>
      <c r="U2276">
        <v>298</v>
      </c>
      <c r="V2276" t="s">
        <v>561</v>
      </c>
      <c r="W2276" t="s">
        <v>561</v>
      </c>
      <c r="X2276" t="s">
        <v>563</v>
      </c>
    </row>
    <row r="2277" spans="1:24">
      <c r="A2277">
        <v>13532</v>
      </c>
      <c r="B2277" t="s">
        <v>25</v>
      </c>
      <c r="C2277" t="str">
        <f t="shared" si="72"/>
        <v>INTEGRA Hatchback</v>
      </c>
      <c r="D2277" t="str">
        <f t="shared" si="73"/>
        <v>1.5</v>
      </c>
      <c r="E2277" t="s">
        <v>1760</v>
      </c>
      <c r="F2277">
        <v>198501</v>
      </c>
      <c r="G2277">
        <v>199012</v>
      </c>
      <c r="H2277">
        <v>63</v>
      </c>
      <c r="I2277">
        <v>85</v>
      </c>
      <c r="J2277">
        <v>1488</v>
      </c>
      <c r="K2277">
        <v>952411</v>
      </c>
      <c r="L2277" t="s">
        <v>218</v>
      </c>
      <c r="M2277" t="str">
        <f>"PR45H"</f>
        <v>PR45H</v>
      </c>
      <c r="N2277" t="str">
        <f>"PR-45H"</f>
        <v>PR-45H</v>
      </c>
      <c r="O2277" t="str">
        <f>""</f>
        <v/>
      </c>
      <c r="P2277" t="s">
        <v>561</v>
      </c>
      <c r="Q2277" t="str">
        <f>""</f>
        <v/>
      </c>
      <c r="S2277" t="s">
        <v>568</v>
      </c>
      <c r="U2277">
        <v>298</v>
      </c>
      <c r="V2277" t="s">
        <v>561</v>
      </c>
      <c r="W2277" t="s">
        <v>561</v>
      </c>
      <c r="X2277" t="s">
        <v>563</v>
      </c>
    </row>
    <row r="2278" spans="1:24">
      <c r="A2278">
        <v>13532</v>
      </c>
      <c r="B2278" t="s">
        <v>25</v>
      </c>
      <c r="C2278" t="str">
        <f t="shared" si="72"/>
        <v>INTEGRA Hatchback</v>
      </c>
      <c r="D2278" t="str">
        <f t="shared" si="73"/>
        <v>1.5</v>
      </c>
      <c r="E2278" t="s">
        <v>1760</v>
      </c>
      <c r="F2278">
        <v>198501</v>
      </c>
      <c r="G2278">
        <v>199012</v>
      </c>
      <c r="H2278">
        <v>63</v>
      </c>
      <c r="I2278">
        <v>85</v>
      </c>
      <c r="J2278">
        <v>1488</v>
      </c>
      <c r="K2278">
        <v>2928185</v>
      </c>
      <c r="L2278" t="s">
        <v>560</v>
      </c>
      <c r="M2278" t="str">
        <f>"35180"</f>
        <v>35180</v>
      </c>
      <c r="N2278" t="str">
        <f>"35-180"</f>
        <v>35-180</v>
      </c>
      <c r="O2278" t="str">
        <f>""</f>
        <v/>
      </c>
      <c r="P2278" t="s">
        <v>561</v>
      </c>
      <c r="Q2278" t="str">
        <f>""</f>
        <v/>
      </c>
      <c r="R2278" t="s">
        <v>565</v>
      </c>
      <c r="S2278" t="s">
        <v>566</v>
      </c>
      <c r="T2278" s="1" t="s">
        <v>570</v>
      </c>
      <c r="U2278">
        <v>298</v>
      </c>
      <c r="V2278" t="s">
        <v>561</v>
      </c>
      <c r="W2278" t="s">
        <v>561</v>
      </c>
      <c r="X2278" t="s">
        <v>563</v>
      </c>
    </row>
    <row r="2279" spans="1:24">
      <c r="A2279">
        <v>13532</v>
      </c>
      <c r="B2279" t="s">
        <v>25</v>
      </c>
      <c r="C2279" t="str">
        <f t="shared" si="72"/>
        <v>INTEGRA Hatchback</v>
      </c>
      <c r="D2279" t="str">
        <f t="shared" si="73"/>
        <v>1.5</v>
      </c>
      <c r="E2279" t="s">
        <v>1760</v>
      </c>
      <c r="F2279">
        <v>198501</v>
      </c>
      <c r="G2279">
        <v>199012</v>
      </c>
      <c r="H2279">
        <v>63</v>
      </c>
      <c r="I2279">
        <v>85</v>
      </c>
      <c r="J2279">
        <v>1488</v>
      </c>
      <c r="K2279">
        <v>2928202</v>
      </c>
      <c r="L2279" t="s">
        <v>560</v>
      </c>
      <c r="M2279" t="str">
        <f>"EF450"</f>
        <v>EF450</v>
      </c>
      <c r="N2279" t="str">
        <f>"EF450"</f>
        <v>EF450</v>
      </c>
      <c r="O2279" t="str">
        <f>""</f>
        <v/>
      </c>
      <c r="P2279" t="s">
        <v>561</v>
      </c>
      <c r="Q2279" t="str">
        <f>""</f>
        <v/>
      </c>
      <c r="R2279" t="s">
        <v>565</v>
      </c>
      <c r="S2279" t="s">
        <v>568</v>
      </c>
      <c r="T2279" s="1" t="s">
        <v>571</v>
      </c>
      <c r="U2279">
        <v>298</v>
      </c>
      <c r="V2279" t="s">
        <v>561</v>
      </c>
      <c r="W2279" t="s">
        <v>561</v>
      </c>
      <c r="X2279" t="s">
        <v>563</v>
      </c>
    </row>
    <row r="2280" spans="1:24">
      <c r="A2280">
        <v>13532</v>
      </c>
      <c r="B2280" t="s">
        <v>25</v>
      </c>
      <c r="C2280" t="str">
        <f t="shared" si="72"/>
        <v>INTEGRA Hatchback</v>
      </c>
      <c r="D2280" t="str">
        <f t="shared" si="73"/>
        <v>1.5</v>
      </c>
      <c r="E2280" t="s">
        <v>1760</v>
      </c>
      <c r="F2280">
        <v>198501</v>
      </c>
      <c r="G2280">
        <v>199012</v>
      </c>
      <c r="H2280">
        <v>63</v>
      </c>
      <c r="I2280">
        <v>85</v>
      </c>
      <c r="J2280">
        <v>1488</v>
      </c>
      <c r="K2280">
        <v>2928348</v>
      </c>
      <c r="L2280" t="s">
        <v>560</v>
      </c>
      <c r="M2280" t="str">
        <f>"FX450"</f>
        <v>FX450</v>
      </c>
      <c r="N2280" t="str">
        <f>"FX450"</f>
        <v>FX450</v>
      </c>
      <c r="O2280" t="str">
        <f>""</f>
        <v/>
      </c>
      <c r="P2280" t="s">
        <v>561</v>
      </c>
      <c r="Q2280" t="str">
        <f>""</f>
        <v/>
      </c>
      <c r="R2280" t="s">
        <v>565</v>
      </c>
      <c r="S2280" t="s">
        <v>572</v>
      </c>
      <c r="T2280" s="1" t="s">
        <v>573</v>
      </c>
      <c r="U2280">
        <v>298</v>
      </c>
      <c r="V2280" t="s">
        <v>561</v>
      </c>
      <c r="W2280" t="s">
        <v>561</v>
      </c>
      <c r="X2280" t="s">
        <v>563</v>
      </c>
    </row>
    <row r="2281" spans="1:24">
      <c r="A2281">
        <v>13532</v>
      </c>
      <c r="B2281" t="s">
        <v>25</v>
      </c>
      <c r="C2281" t="str">
        <f t="shared" si="72"/>
        <v>INTEGRA Hatchback</v>
      </c>
      <c r="D2281" t="str">
        <f t="shared" si="73"/>
        <v>1.5</v>
      </c>
      <c r="E2281" t="s">
        <v>1760</v>
      </c>
      <c r="F2281">
        <v>198501</v>
      </c>
      <c r="G2281">
        <v>199012</v>
      </c>
      <c r="H2281">
        <v>63</v>
      </c>
      <c r="I2281">
        <v>85</v>
      </c>
      <c r="J2281">
        <v>1488</v>
      </c>
      <c r="K2281">
        <v>2928366</v>
      </c>
      <c r="L2281" t="s">
        <v>560</v>
      </c>
      <c r="M2281" t="str">
        <f>"NF450"</f>
        <v>NF450</v>
      </c>
      <c r="N2281" t="str">
        <f>"NF450"</f>
        <v>NF450</v>
      </c>
      <c r="O2281" t="str">
        <f>""</f>
        <v/>
      </c>
      <c r="P2281" t="s">
        <v>561</v>
      </c>
      <c r="Q2281" t="str">
        <f>""</f>
        <v/>
      </c>
      <c r="R2281" t="s">
        <v>565</v>
      </c>
      <c r="S2281" t="s">
        <v>566</v>
      </c>
      <c r="T2281" t="s">
        <v>574</v>
      </c>
      <c r="U2281">
        <v>298</v>
      </c>
      <c r="V2281" t="s">
        <v>561</v>
      </c>
      <c r="W2281" t="s">
        <v>561</v>
      </c>
      <c r="X2281" t="s">
        <v>563</v>
      </c>
    </row>
    <row r="2282" spans="1:24">
      <c r="A2282">
        <v>13532</v>
      </c>
      <c r="B2282" t="s">
        <v>25</v>
      </c>
      <c r="C2282" t="str">
        <f t="shared" si="72"/>
        <v>INTEGRA Hatchback</v>
      </c>
      <c r="D2282" t="str">
        <f t="shared" si="73"/>
        <v>1.5</v>
      </c>
      <c r="E2282" t="s">
        <v>1760</v>
      </c>
      <c r="F2282">
        <v>198501</v>
      </c>
      <c r="G2282">
        <v>199012</v>
      </c>
      <c r="H2282">
        <v>63</v>
      </c>
      <c r="I2282">
        <v>85</v>
      </c>
      <c r="J2282">
        <v>1488</v>
      </c>
      <c r="K2282">
        <v>2928421</v>
      </c>
      <c r="L2282" t="s">
        <v>560</v>
      </c>
      <c r="M2282" t="str">
        <f>"T450"</f>
        <v>T450</v>
      </c>
      <c r="N2282" t="str">
        <f>"T450"</f>
        <v>T450</v>
      </c>
      <c r="O2282" t="str">
        <f>""</f>
        <v/>
      </c>
      <c r="P2282" t="s">
        <v>561</v>
      </c>
      <c r="Q2282" t="str">
        <f>""</f>
        <v/>
      </c>
      <c r="R2282" t="s">
        <v>565</v>
      </c>
      <c r="S2282" t="s">
        <v>568</v>
      </c>
      <c r="T2282" s="1" t="s">
        <v>575</v>
      </c>
      <c r="U2282">
        <v>298</v>
      </c>
      <c r="V2282" t="s">
        <v>561</v>
      </c>
      <c r="W2282" t="s">
        <v>561</v>
      </c>
      <c r="X2282" t="s">
        <v>563</v>
      </c>
    </row>
    <row r="2283" spans="1:24">
      <c r="A2283">
        <v>13532</v>
      </c>
      <c r="B2283" t="s">
        <v>25</v>
      </c>
      <c r="C2283" t="str">
        <f t="shared" si="72"/>
        <v>INTEGRA Hatchback</v>
      </c>
      <c r="D2283" t="str">
        <f t="shared" si="73"/>
        <v>1.5</v>
      </c>
      <c r="E2283" t="s">
        <v>1760</v>
      </c>
      <c r="F2283">
        <v>198501</v>
      </c>
      <c r="G2283">
        <v>199012</v>
      </c>
      <c r="H2283">
        <v>63</v>
      </c>
      <c r="I2283">
        <v>85</v>
      </c>
      <c r="J2283">
        <v>1488</v>
      </c>
      <c r="K2283">
        <v>2928443</v>
      </c>
      <c r="L2283" t="s">
        <v>560</v>
      </c>
      <c r="M2283" t="str">
        <f>"TT450"</f>
        <v>TT450</v>
      </c>
      <c r="N2283" t="str">
        <f>"TT450"</f>
        <v>TT450</v>
      </c>
      <c r="O2283" t="str">
        <f>""</f>
        <v/>
      </c>
      <c r="P2283" t="s">
        <v>561</v>
      </c>
      <c r="Q2283" t="str">
        <f>""</f>
        <v/>
      </c>
      <c r="R2283" t="s">
        <v>565</v>
      </c>
      <c r="S2283" t="s">
        <v>566</v>
      </c>
      <c r="T2283" t="s">
        <v>576</v>
      </c>
      <c r="U2283">
        <v>298</v>
      </c>
      <c r="V2283" t="s">
        <v>561</v>
      </c>
      <c r="W2283" t="s">
        <v>561</v>
      </c>
      <c r="X2283" t="s">
        <v>563</v>
      </c>
    </row>
    <row r="2284" spans="1:24">
      <c r="A2284">
        <v>13532</v>
      </c>
      <c r="B2284" t="s">
        <v>25</v>
      </c>
      <c r="C2284" t="str">
        <f t="shared" si="72"/>
        <v>INTEGRA Hatchback</v>
      </c>
      <c r="D2284" t="str">
        <f t="shared" si="73"/>
        <v>1.5</v>
      </c>
      <c r="E2284" t="s">
        <v>1760</v>
      </c>
      <c r="F2284">
        <v>198501</v>
      </c>
      <c r="G2284">
        <v>199012</v>
      </c>
      <c r="H2284">
        <v>63</v>
      </c>
      <c r="I2284">
        <v>85</v>
      </c>
      <c r="J2284">
        <v>1488</v>
      </c>
      <c r="K2284">
        <v>3041324</v>
      </c>
      <c r="L2284" t="s">
        <v>33</v>
      </c>
      <c r="M2284" t="str">
        <f>"UB450"</f>
        <v>UB450</v>
      </c>
      <c r="N2284" t="str">
        <f>"UB450"</f>
        <v>UB450</v>
      </c>
      <c r="O2284" t="str">
        <f>""</f>
        <v/>
      </c>
      <c r="P2284" t="s">
        <v>561</v>
      </c>
      <c r="Q2284" t="str">
        <f>"8711768154219"</f>
        <v>8711768154219</v>
      </c>
      <c r="S2284" t="s">
        <v>577</v>
      </c>
      <c r="U2284">
        <v>298</v>
      </c>
      <c r="V2284" t="s">
        <v>561</v>
      </c>
      <c r="W2284" t="s">
        <v>561</v>
      </c>
      <c r="X2284" t="s">
        <v>563</v>
      </c>
    </row>
    <row r="2285" spans="1:24">
      <c r="A2285">
        <v>13532</v>
      </c>
      <c r="B2285" t="s">
        <v>25</v>
      </c>
      <c r="C2285" t="str">
        <f t="shared" si="72"/>
        <v>INTEGRA Hatchback</v>
      </c>
      <c r="D2285" t="str">
        <f t="shared" si="73"/>
        <v>1.5</v>
      </c>
      <c r="E2285" t="s">
        <v>1760</v>
      </c>
      <c r="F2285">
        <v>198501</v>
      </c>
      <c r="G2285">
        <v>199012</v>
      </c>
      <c r="H2285">
        <v>63</v>
      </c>
      <c r="I2285">
        <v>85</v>
      </c>
      <c r="J2285">
        <v>1488</v>
      </c>
      <c r="K2285">
        <v>3841536</v>
      </c>
      <c r="L2285" t="s">
        <v>419</v>
      </c>
      <c r="M2285" t="str">
        <f>"CRF45L"</f>
        <v>CRF45L</v>
      </c>
      <c r="N2285" t="str">
        <f>"CRF45L"</f>
        <v>CRF45L</v>
      </c>
      <c r="O2285" t="str">
        <f>""</f>
        <v/>
      </c>
      <c r="P2285" t="s">
        <v>561</v>
      </c>
      <c r="Q2285" t="str">
        <f>""</f>
        <v/>
      </c>
      <c r="R2285" t="s">
        <v>578</v>
      </c>
      <c r="S2285" t="s">
        <v>579</v>
      </c>
      <c r="T2285" t="s">
        <v>580</v>
      </c>
      <c r="U2285">
        <v>298</v>
      </c>
      <c r="V2285" t="s">
        <v>561</v>
      </c>
      <c r="W2285" t="s">
        <v>561</v>
      </c>
      <c r="X2285" t="s">
        <v>563</v>
      </c>
    </row>
    <row r="2286" spans="1:24">
      <c r="A2286">
        <v>13532</v>
      </c>
      <c r="B2286" t="s">
        <v>25</v>
      </c>
      <c r="C2286" t="str">
        <f t="shared" si="72"/>
        <v>INTEGRA Hatchback</v>
      </c>
      <c r="D2286" t="str">
        <f t="shared" si="73"/>
        <v>1.5</v>
      </c>
      <c r="E2286" t="s">
        <v>1760</v>
      </c>
      <c r="F2286">
        <v>198501</v>
      </c>
      <c r="G2286">
        <v>199012</v>
      </c>
      <c r="H2286">
        <v>63</v>
      </c>
      <c r="I2286">
        <v>85</v>
      </c>
      <c r="J2286">
        <v>1488</v>
      </c>
      <c r="K2286">
        <v>3841537</v>
      </c>
      <c r="L2286" t="s">
        <v>419</v>
      </c>
      <c r="M2286" t="str">
        <f>"CRF45R"</f>
        <v>CRF45R</v>
      </c>
      <c r="N2286" t="str">
        <f>"CRF45R"</f>
        <v>CRF45R</v>
      </c>
      <c r="O2286" t="str">
        <f>""</f>
        <v/>
      </c>
      <c r="P2286" t="s">
        <v>561</v>
      </c>
      <c r="Q2286" t="str">
        <f>""</f>
        <v/>
      </c>
      <c r="S2286" t="s">
        <v>581</v>
      </c>
      <c r="U2286">
        <v>298</v>
      </c>
      <c r="V2286" t="s">
        <v>561</v>
      </c>
      <c r="W2286" t="s">
        <v>561</v>
      </c>
      <c r="X2286" t="s">
        <v>563</v>
      </c>
    </row>
    <row r="2287" spans="1:24">
      <c r="A2287">
        <v>13532</v>
      </c>
      <c r="B2287" t="s">
        <v>25</v>
      </c>
      <c r="C2287" t="str">
        <f t="shared" si="72"/>
        <v>INTEGRA Hatchback</v>
      </c>
      <c r="D2287" t="str">
        <f t="shared" si="73"/>
        <v>1.5</v>
      </c>
      <c r="E2287" t="s">
        <v>1760</v>
      </c>
      <c r="F2287">
        <v>198501</v>
      </c>
      <c r="G2287">
        <v>199012</v>
      </c>
      <c r="H2287">
        <v>63</v>
      </c>
      <c r="I2287">
        <v>85</v>
      </c>
      <c r="J2287">
        <v>1488</v>
      </c>
      <c r="K2287">
        <v>3842530</v>
      </c>
      <c r="L2287" t="s">
        <v>419</v>
      </c>
      <c r="M2287" t="str">
        <f>"CW45"</f>
        <v>CW45</v>
      </c>
      <c r="N2287" t="str">
        <f>"CW45"</f>
        <v>CW45</v>
      </c>
      <c r="O2287" t="str">
        <f>""</f>
        <v/>
      </c>
      <c r="P2287" t="s">
        <v>561</v>
      </c>
      <c r="Q2287" t="str">
        <f>""</f>
        <v/>
      </c>
      <c r="R2287" t="s">
        <v>578</v>
      </c>
      <c r="S2287" t="s">
        <v>581</v>
      </c>
      <c r="T2287" t="s">
        <v>582</v>
      </c>
      <c r="U2287">
        <v>298</v>
      </c>
      <c r="V2287" t="s">
        <v>561</v>
      </c>
      <c r="W2287" t="s">
        <v>561</v>
      </c>
      <c r="X2287" t="s">
        <v>563</v>
      </c>
    </row>
    <row r="2288" spans="1:24">
      <c r="A2288">
        <v>13532</v>
      </c>
      <c r="B2288" t="s">
        <v>25</v>
      </c>
      <c r="C2288" t="str">
        <f t="shared" si="72"/>
        <v>INTEGRA Hatchback</v>
      </c>
      <c r="D2288" t="str">
        <f t="shared" si="73"/>
        <v>1.5</v>
      </c>
      <c r="E2288" t="s">
        <v>1760</v>
      </c>
      <c r="F2288">
        <v>198501</v>
      </c>
      <c r="G2288">
        <v>199012</v>
      </c>
      <c r="H2288">
        <v>63</v>
      </c>
      <c r="I2288">
        <v>85</v>
      </c>
      <c r="J2288">
        <v>1488</v>
      </c>
      <c r="K2288">
        <v>3975534</v>
      </c>
      <c r="L2288" t="s">
        <v>27</v>
      </c>
      <c r="M2288" t="str">
        <f>"WA018"</f>
        <v>WA018</v>
      </c>
      <c r="N2288" t="str">
        <f>"WA018"</f>
        <v>WA018</v>
      </c>
      <c r="O2288" t="str">
        <f>""</f>
        <v/>
      </c>
      <c r="P2288" t="s">
        <v>561</v>
      </c>
      <c r="Q2288" t="str">
        <f>"8718993423387"</f>
        <v>8718993423387</v>
      </c>
      <c r="R2288" t="s">
        <v>583</v>
      </c>
      <c r="T2288" s="1" t="s">
        <v>584</v>
      </c>
      <c r="U2288">
        <v>298</v>
      </c>
      <c r="V2288" t="s">
        <v>561</v>
      </c>
      <c r="W2288" t="s">
        <v>561</v>
      </c>
      <c r="X2288" t="s">
        <v>563</v>
      </c>
    </row>
    <row r="2289" spans="1:25">
      <c r="A2289">
        <v>13532</v>
      </c>
      <c r="B2289" t="s">
        <v>25</v>
      </c>
      <c r="C2289" t="str">
        <f t="shared" si="72"/>
        <v>INTEGRA Hatchback</v>
      </c>
      <c r="D2289" t="str">
        <f t="shared" si="73"/>
        <v>1.5</v>
      </c>
      <c r="E2289" t="s">
        <v>1760</v>
      </c>
      <c r="F2289">
        <v>198501</v>
      </c>
      <c r="G2289">
        <v>199012</v>
      </c>
      <c r="H2289">
        <v>63</v>
      </c>
      <c r="I2289">
        <v>85</v>
      </c>
      <c r="J2289">
        <v>1488</v>
      </c>
      <c r="K2289">
        <v>3975566</v>
      </c>
      <c r="L2289" t="s">
        <v>27</v>
      </c>
      <c r="M2289" t="str">
        <f>"WAF18"</f>
        <v>WAF18</v>
      </c>
      <c r="N2289" t="str">
        <f>"WAF18"</f>
        <v>WAF18</v>
      </c>
      <c r="O2289" t="str">
        <f>""</f>
        <v/>
      </c>
      <c r="P2289" t="s">
        <v>561</v>
      </c>
      <c r="Q2289" t="str">
        <f>"8718993424087"</f>
        <v>8718993424087</v>
      </c>
      <c r="R2289" t="s">
        <v>585</v>
      </c>
      <c r="T2289" t="s">
        <v>586</v>
      </c>
      <c r="U2289">
        <v>298</v>
      </c>
      <c r="V2289" t="s">
        <v>561</v>
      </c>
      <c r="W2289" t="s">
        <v>561</v>
      </c>
      <c r="X2289" t="s">
        <v>563</v>
      </c>
    </row>
    <row r="2290" spans="1:25">
      <c r="A2290">
        <v>13532</v>
      </c>
      <c r="B2290" t="s">
        <v>25</v>
      </c>
      <c r="C2290" t="str">
        <f t="shared" si="72"/>
        <v>INTEGRA Hatchback</v>
      </c>
      <c r="D2290" t="str">
        <f t="shared" si="73"/>
        <v>1.5</v>
      </c>
      <c r="E2290" t="s">
        <v>1760</v>
      </c>
      <c r="F2290">
        <v>198501</v>
      </c>
      <c r="G2290">
        <v>199012</v>
      </c>
      <c r="H2290">
        <v>63</v>
      </c>
      <c r="I2290">
        <v>85</v>
      </c>
      <c r="J2290">
        <v>1488</v>
      </c>
      <c r="K2290">
        <v>4415614</v>
      </c>
      <c r="L2290" t="s">
        <v>193</v>
      </c>
      <c r="M2290" t="str">
        <f>"450L"</f>
        <v>450L</v>
      </c>
      <c r="N2290" t="str">
        <f>"450L"</f>
        <v>450L</v>
      </c>
      <c r="O2290" t="str">
        <f>""</f>
        <v/>
      </c>
      <c r="P2290" t="s">
        <v>561</v>
      </c>
      <c r="Q2290" t="str">
        <f>"4905601036877"</f>
        <v>4905601036877</v>
      </c>
      <c r="R2290" t="s">
        <v>587</v>
      </c>
      <c r="S2290" t="s">
        <v>568</v>
      </c>
      <c r="T2290" s="1" t="s">
        <v>588</v>
      </c>
      <c r="U2290">
        <v>298</v>
      </c>
      <c r="V2290" t="s">
        <v>561</v>
      </c>
      <c r="W2290" t="s">
        <v>561</v>
      </c>
      <c r="X2290" t="s">
        <v>563</v>
      </c>
    </row>
    <row r="2291" spans="1:25">
      <c r="A2291">
        <v>13532</v>
      </c>
      <c r="B2291" t="s">
        <v>25</v>
      </c>
      <c r="C2291" t="str">
        <f t="shared" si="72"/>
        <v>INTEGRA Hatchback</v>
      </c>
      <c r="D2291" t="str">
        <f t="shared" si="73"/>
        <v>1.5</v>
      </c>
      <c r="E2291" t="s">
        <v>1760</v>
      </c>
      <c r="F2291">
        <v>198501</v>
      </c>
      <c r="G2291">
        <v>199012</v>
      </c>
      <c r="H2291">
        <v>63</v>
      </c>
      <c r="I2291">
        <v>85</v>
      </c>
      <c r="J2291">
        <v>1488</v>
      </c>
      <c r="K2291">
        <v>4427290</v>
      </c>
      <c r="L2291" t="s">
        <v>193</v>
      </c>
      <c r="M2291" t="str">
        <f>"LW450"</f>
        <v>LW450</v>
      </c>
      <c r="N2291" t="str">
        <f>"LW450"</f>
        <v>LW450</v>
      </c>
      <c r="O2291" t="str">
        <f>""</f>
        <v/>
      </c>
      <c r="P2291" t="s">
        <v>561</v>
      </c>
      <c r="Q2291" t="str">
        <f>"4905601012956"</f>
        <v>4905601012956</v>
      </c>
      <c r="R2291" t="s">
        <v>589</v>
      </c>
      <c r="S2291" t="s">
        <v>568</v>
      </c>
      <c r="T2291" s="1" t="s">
        <v>588</v>
      </c>
      <c r="U2291">
        <v>298</v>
      </c>
      <c r="V2291" t="s">
        <v>561</v>
      </c>
      <c r="W2291" t="s">
        <v>561</v>
      </c>
      <c r="X2291" t="s">
        <v>563</v>
      </c>
    </row>
    <row r="2292" spans="1:25">
      <c r="A2292">
        <v>13532</v>
      </c>
      <c r="B2292" t="s">
        <v>25</v>
      </c>
      <c r="C2292" t="str">
        <f t="shared" si="72"/>
        <v>INTEGRA Hatchback</v>
      </c>
      <c r="D2292" t="str">
        <f t="shared" si="73"/>
        <v>1.5</v>
      </c>
      <c r="E2292" t="s">
        <v>1760</v>
      </c>
      <c r="F2292">
        <v>198501</v>
      </c>
      <c r="G2292">
        <v>199012</v>
      </c>
      <c r="H2292">
        <v>63</v>
      </c>
      <c r="I2292">
        <v>85</v>
      </c>
      <c r="J2292">
        <v>1488</v>
      </c>
      <c r="K2292">
        <v>4427301</v>
      </c>
      <c r="L2292" t="s">
        <v>193</v>
      </c>
      <c r="M2292" t="str">
        <f>"LX450"</f>
        <v>LX450</v>
      </c>
      <c r="N2292" t="str">
        <f>"LX450"</f>
        <v>LX450</v>
      </c>
      <c r="O2292" t="str">
        <f>""</f>
        <v/>
      </c>
      <c r="P2292" t="s">
        <v>561</v>
      </c>
      <c r="Q2292" t="str">
        <f>"4905601059296"</f>
        <v>4905601059296</v>
      </c>
      <c r="R2292" t="s">
        <v>589</v>
      </c>
      <c r="S2292" t="s">
        <v>568</v>
      </c>
      <c r="T2292" s="1" t="s">
        <v>590</v>
      </c>
      <c r="U2292">
        <v>298</v>
      </c>
      <c r="V2292" t="s">
        <v>561</v>
      </c>
      <c r="W2292" t="s">
        <v>561</v>
      </c>
      <c r="X2292" t="s">
        <v>563</v>
      </c>
    </row>
    <row r="2293" spans="1:25">
      <c r="A2293">
        <v>13532</v>
      </c>
      <c r="B2293" t="s">
        <v>25</v>
      </c>
      <c r="C2293" t="str">
        <f t="shared" si="72"/>
        <v>INTEGRA Hatchback</v>
      </c>
      <c r="D2293" t="str">
        <f t="shared" si="73"/>
        <v>1.5</v>
      </c>
      <c r="E2293" t="s">
        <v>1760</v>
      </c>
      <c r="F2293">
        <v>198501</v>
      </c>
      <c r="G2293">
        <v>199012</v>
      </c>
      <c r="H2293">
        <v>63</v>
      </c>
      <c r="I2293">
        <v>85</v>
      </c>
      <c r="J2293">
        <v>1488</v>
      </c>
      <c r="K2293">
        <v>4431507</v>
      </c>
      <c r="L2293" t="s">
        <v>193</v>
      </c>
      <c r="M2293" t="str">
        <f>"XF450"</f>
        <v>XF450</v>
      </c>
      <c r="N2293" t="str">
        <f>"XF450"</f>
        <v>XF450</v>
      </c>
      <c r="O2293" t="str">
        <f>""</f>
        <v/>
      </c>
      <c r="P2293" t="s">
        <v>561</v>
      </c>
      <c r="Q2293" t="str">
        <f>"4905601032411"</f>
        <v>4905601032411</v>
      </c>
      <c r="R2293" t="s">
        <v>591</v>
      </c>
      <c r="S2293" t="s">
        <v>566</v>
      </c>
      <c r="T2293" s="1" t="s">
        <v>592</v>
      </c>
      <c r="U2293">
        <v>298</v>
      </c>
      <c r="V2293" t="s">
        <v>561</v>
      </c>
      <c r="W2293" t="s">
        <v>561</v>
      </c>
      <c r="X2293" t="s">
        <v>563</v>
      </c>
    </row>
    <row r="2294" spans="1:25">
      <c r="A2294">
        <v>13532</v>
      </c>
      <c r="B2294" t="s">
        <v>25</v>
      </c>
      <c r="C2294" t="str">
        <f t="shared" si="72"/>
        <v>INTEGRA Hatchback</v>
      </c>
      <c r="D2294" t="str">
        <f t="shared" si="73"/>
        <v>1.5</v>
      </c>
      <c r="E2294" t="s">
        <v>1760</v>
      </c>
      <c r="F2294">
        <v>198501</v>
      </c>
      <c r="G2294">
        <v>199012</v>
      </c>
      <c r="H2294">
        <v>63</v>
      </c>
      <c r="I2294">
        <v>85</v>
      </c>
      <c r="J2294">
        <v>1488</v>
      </c>
      <c r="K2294">
        <v>283138</v>
      </c>
      <c r="L2294" t="s">
        <v>144</v>
      </c>
      <c r="M2294" t="str">
        <f>"230735"</f>
        <v>230735</v>
      </c>
      <c r="N2294" t="str">
        <f>"230735"</f>
        <v>230735</v>
      </c>
      <c r="O2294" t="str">
        <f>""</f>
        <v/>
      </c>
      <c r="P2294" t="s">
        <v>593</v>
      </c>
      <c r="Q2294" t="str">
        <f>"4043605426451"</f>
        <v>4043605426451</v>
      </c>
      <c r="R2294" t="s">
        <v>594</v>
      </c>
      <c r="S2294" t="s">
        <v>1366</v>
      </c>
      <c r="T2294" s="1" t="s">
        <v>1783</v>
      </c>
      <c r="U2294">
        <v>305</v>
      </c>
      <c r="V2294" t="s">
        <v>593</v>
      </c>
      <c r="W2294" t="s">
        <v>177</v>
      </c>
      <c r="X2294" t="s">
        <v>178</v>
      </c>
      <c r="Y2294" t="s">
        <v>597</v>
      </c>
    </row>
    <row r="2295" spans="1:25">
      <c r="A2295">
        <v>13532</v>
      </c>
      <c r="B2295" t="s">
        <v>25</v>
      </c>
      <c r="C2295" t="str">
        <f t="shared" si="72"/>
        <v>INTEGRA Hatchback</v>
      </c>
      <c r="D2295" t="str">
        <f t="shared" si="73"/>
        <v>1.5</v>
      </c>
      <c r="E2295" t="s">
        <v>1760</v>
      </c>
      <c r="F2295">
        <v>198501</v>
      </c>
      <c r="G2295">
        <v>199012</v>
      </c>
      <c r="H2295">
        <v>63</v>
      </c>
      <c r="I2295">
        <v>85</v>
      </c>
      <c r="J2295">
        <v>1488</v>
      </c>
      <c r="K2295">
        <v>318651</v>
      </c>
      <c r="L2295" t="s">
        <v>173</v>
      </c>
      <c r="M2295" t="str">
        <f>"3PK738"</f>
        <v>3PK738</v>
      </c>
      <c r="N2295" t="str">
        <f>"3PK738"</f>
        <v>3PK738</v>
      </c>
      <c r="O2295" t="str">
        <f>"3PK738"</f>
        <v>3PK738</v>
      </c>
      <c r="P2295" t="s">
        <v>593</v>
      </c>
      <c r="Q2295" t="str">
        <f>"5414465355905"</f>
        <v>5414465355905</v>
      </c>
      <c r="R2295" t="s">
        <v>1362</v>
      </c>
      <c r="S2295" t="s">
        <v>595</v>
      </c>
      <c r="T2295" s="1" t="s">
        <v>1784</v>
      </c>
      <c r="U2295">
        <v>305</v>
      </c>
      <c r="V2295" t="s">
        <v>593</v>
      </c>
      <c r="W2295" t="s">
        <v>177</v>
      </c>
      <c r="X2295" t="s">
        <v>178</v>
      </c>
      <c r="Y2295" t="s">
        <v>597</v>
      </c>
    </row>
    <row r="2296" spans="1:25">
      <c r="A2296">
        <v>13532</v>
      </c>
      <c r="B2296" t="s">
        <v>25</v>
      </c>
      <c r="C2296" t="str">
        <f t="shared" si="72"/>
        <v>INTEGRA Hatchback</v>
      </c>
      <c r="D2296" t="str">
        <f t="shared" si="73"/>
        <v>1.5</v>
      </c>
      <c r="E2296" t="s">
        <v>1760</v>
      </c>
      <c r="F2296">
        <v>198501</v>
      </c>
      <c r="G2296">
        <v>199012</v>
      </c>
      <c r="H2296">
        <v>63</v>
      </c>
      <c r="I2296">
        <v>85</v>
      </c>
      <c r="J2296">
        <v>1488</v>
      </c>
      <c r="K2296">
        <v>1882482</v>
      </c>
      <c r="L2296" t="s">
        <v>1364</v>
      </c>
      <c r="M2296" t="str">
        <f>"3PK740"</f>
        <v>3PK740</v>
      </c>
      <c r="N2296" t="str">
        <f>"3 PK 740"</f>
        <v>3 PK 740</v>
      </c>
      <c r="O2296" t="str">
        <f>""</f>
        <v/>
      </c>
      <c r="P2296" t="s">
        <v>593</v>
      </c>
      <c r="Q2296" t="str">
        <f>"4014486419566"</f>
        <v>4014486419566</v>
      </c>
      <c r="S2296" t="s">
        <v>1366</v>
      </c>
      <c r="T2296" s="1" t="s">
        <v>1785</v>
      </c>
      <c r="U2296">
        <v>305</v>
      </c>
      <c r="V2296" t="s">
        <v>593</v>
      </c>
      <c r="W2296" t="s">
        <v>177</v>
      </c>
      <c r="X2296" t="s">
        <v>178</v>
      </c>
      <c r="Y2296" t="s">
        <v>597</v>
      </c>
    </row>
    <row r="2297" spans="1:25">
      <c r="A2297">
        <v>13532</v>
      </c>
      <c r="B2297" t="s">
        <v>25</v>
      </c>
      <c r="C2297" t="str">
        <f t="shared" si="72"/>
        <v>INTEGRA Hatchback</v>
      </c>
      <c r="D2297" t="str">
        <f t="shared" si="73"/>
        <v>1.5</v>
      </c>
      <c r="E2297" t="s">
        <v>1760</v>
      </c>
      <c r="F2297">
        <v>198501</v>
      </c>
      <c r="G2297">
        <v>199012</v>
      </c>
      <c r="H2297">
        <v>63</v>
      </c>
      <c r="I2297">
        <v>85</v>
      </c>
      <c r="J2297">
        <v>1488</v>
      </c>
      <c r="K2297">
        <v>2231268</v>
      </c>
      <c r="L2297" t="s">
        <v>181</v>
      </c>
      <c r="M2297" t="str">
        <f>"8640300738"</f>
        <v>8640300738</v>
      </c>
      <c r="N2297" t="str">
        <f>"8640 300738"</f>
        <v>8640 300738</v>
      </c>
      <c r="O2297" t="str">
        <f>""</f>
        <v/>
      </c>
      <c r="P2297" t="s">
        <v>593</v>
      </c>
      <c r="Q2297" t="str">
        <f>"5709147081693"</f>
        <v>5709147081693</v>
      </c>
      <c r="R2297" t="s">
        <v>1362</v>
      </c>
      <c r="S2297" t="s">
        <v>595</v>
      </c>
      <c r="T2297" s="1" t="s">
        <v>1786</v>
      </c>
      <c r="U2297">
        <v>305</v>
      </c>
      <c r="V2297" t="s">
        <v>593</v>
      </c>
      <c r="W2297" t="s">
        <v>177</v>
      </c>
      <c r="X2297" t="s">
        <v>178</v>
      </c>
      <c r="Y2297" t="s">
        <v>597</v>
      </c>
    </row>
    <row r="2298" spans="1:25">
      <c r="A2298">
        <v>13532</v>
      </c>
      <c r="B2298" t="s">
        <v>25</v>
      </c>
      <c r="C2298" t="str">
        <f t="shared" si="72"/>
        <v>INTEGRA Hatchback</v>
      </c>
      <c r="D2298" t="str">
        <f t="shared" si="73"/>
        <v>1.5</v>
      </c>
      <c r="E2298" t="s">
        <v>1760</v>
      </c>
      <c r="F2298">
        <v>198501</v>
      </c>
      <c r="G2298">
        <v>199012</v>
      </c>
      <c r="H2298">
        <v>63</v>
      </c>
      <c r="I2298">
        <v>85</v>
      </c>
      <c r="J2298">
        <v>1488</v>
      </c>
      <c r="K2298">
        <v>3024848</v>
      </c>
      <c r="L2298" t="s">
        <v>33</v>
      </c>
      <c r="M2298" t="str">
        <f>"J1030735"</f>
        <v>J1030735</v>
      </c>
      <c r="N2298" t="str">
        <f>"J1030735"</f>
        <v>J1030735</v>
      </c>
      <c r="O2298" t="str">
        <f>""</f>
        <v/>
      </c>
      <c r="P2298" t="s">
        <v>593</v>
      </c>
      <c r="Q2298" t="str">
        <f>"8711768022495"</f>
        <v>8711768022495</v>
      </c>
      <c r="R2298" t="s">
        <v>594</v>
      </c>
      <c r="S2298" t="s">
        <v>595</v>
      </c>
      <c r="T2298" s="1" t="s">
        <v>596</v>
      </c>
      <c r="U2298">
        <v>305</v>
      </c>
      <c r="V2298" t="s">
        <v>593</v>
      </c>
      <c r="W2298" t="s">
        <v>177</v>
      </c>
      <c r="X2298" t="s">
        <v>178</v>
      </c>
      <c r="Y2298" t="s">
        <v>597</v>
      </c>
    </row>
    <row r="2299" spans="1:25">
      <c r="A2299">
        <v>13532</v>
      </c>
      <c r="B2299" t="s">
        <v>25</v>
      </c>
      <c r="C2299" t="str">
        <f t="shared" si="72"/>
        <v>INTEGRA Hatchback</v>
      </c>
      <c r="D2299" t="str">
        <f t="shared" si="73"/>
        <v>1.5</v>
      </c>
      <c r="E2299" t="s">
        <v>1760</v>
      </c>
      <c r="F2299">
        <v>198501</v>
      </c>
      <c r="G2299">
        <v>199012</v>
      </c>
      <c r="H2299">
        <v>63</v>
      </c>
      <c r="I2299">
        <v>85</v>
      </c>
      <c r="J2299">
        <v>1488</v>
      </c>
      <c r="K2299">
        <v>3848975</v>
      </c>
      <c r="L2299" t="s">
        <v>1231</v>
      </c>
      <c r="M2299" t="str">
        <f>"3PK0737L"</f>
        <v>3PK0737L</v>
      </c>
      <c r="N2299" t="str">
        <f>"3PK0737L"</f>
        <v>3PK0737L</v>
      </c>
      <c r="O2299" t="str">
        <f>""</f>
        <v/>
      </c>
      <c r="P2299" t="s">
        <v>593</v>
      </c>
      <c r="Q2299" t="str">
        <f>"3275591569954"</f>
        <v>3275591569954</v>
      </c>
      <c r="R2299" t="s">
        <v>1787</v>
      </c>
      <c r="S2299" t="s">
        <v>595</v>
      </c>
      <c r="T2299" s="1" t="s">
        <v>1788</v>
      </c>
      <c r="U2299">
        <v>305</v>
      </c>
      <c r="V2299" t="s">
        <v>593</v>
      </c>
      <c r="W2299" t="s">
        <v>177</v>
      </c>
      <c r="X2299" t="s">
        <v>178</v>
      </c>
      <c r="Y2299" t="s">
        <v>597</v>
      </c>
    </row>
    <row r="2300" spans="1:25">
      <c r="A2300">
        <v>13532</v>
      </c>
      <c r="B2300" t="s">
        <v>25</v>
      </c>
      <c r="C2300" t="str">
        <f t="shared" si="72"/>
        <v>INTEGRA Hatchback</v>
      </c>
      <c r="D2300" t="str">
        <f t="shared" si="73"/>
        <v>1.5</v>
      </c>
      <c r="E2300" t="s">
        <v>1760</v>
      </c>
      <c r="F2300">
        <v>198501</v>
      </c>
      <c r="G2300">
        <v>199012</v>
      </c>
      <c r="H2300">
        <v>63</v>
      </c>
      <c r="I2300">
        <v>85</v>
      </c>
      <c r="J2300">
        <v>1488</v>
      </c>
      <c r="K2300">
        <v>3975287</v>
      </c>
      <c r="L2300" t="s">
        <v>27</v>
      </c>
      <c r="M2300" t="str">
        <f>"VM30735"</f>
        <v>VM30735</v>
      </c>
      <c r="N2300" t="str">
        <f>"VM3-0735"</f>
        <v>VM3-0735</v>
      </c>
      <c r="O2300" t="str">
        <f>""</f>
        <v/>
      </c>
      <c r="P2300" t="s">
        <v>593</v>
      </c>
      <c r="Q2300" t="str">
        <f>"8718993418956"</f>
        <v>8718993418956</v>
      </c>
      <c r="R2300" t="s">
        <v>594</v>
      </c>
      <c r="S2300" t="s">
        <v>595</v>
      </c>
      <c r="T2300" s="1" t="s">
        <v>598</v>
      </c>
      <c r="U2300">
        <v>305</v>
      </c>
      <c r="V2300" t="s">
        <v>593</v>
      </c>
      <c r="W2300" t="s">
        <v>177</v>
      </c>
      <c r="X2300" t="s">
        <v>178</v>
      </c>
      <c r="Y2300" t="s">
        <v>597</v>
      </c>
    </row>
    <row r="2301" spans="1:25">
      <c r="A2301">
        <v>13532</v>
      </c>
      <c r="B2301" t="s">
        <v>25</v>
      </c>
      <c r="C2301" t="str">
        <f t="shared" si="72"/>
        <v>INTEGRA Hatchback</v>
      </c>
      <c r="D2301" t="str">
        <f t="shared" si="73"/>
        <v>1.5</v>
      </c>
      <c r="E2301" t="s">
        <v>1760</v>
      </c>
      <c r="F2301">
        <v>198501</v>
      </c>
      <c r="G2301">
        <v>199012</v>
      </c>
      <c r="H2301">
        <v>63</v>
      </c>
      <c r="I2301">
        <v>85</v>
      </c>
      <c r="J2301">
        <v>1488</v>
      </c>
      <c r="K2301">
        <v>4277967</v>
      </c>
      <c r="L2301" t="s">
        <v>129</v>
      </c>
      <c r="M2301" t="str">
        <f>"3PK736"</f>
        <v>3PK736</v>
      </c>
      <c r="N2301" t="str">
        <f>"3PK736"</f>
        <v>3PK736</v>
      </c>
      <c r="O2301" t="str">
        <f>""</f>
        <v/>
      </c>
      <c r="P2301" t="s">
        <v>593</v>
      </c>
      <c r="Q2301" t="str">
        <f>"8421779543406"</f>
        <v>8421779543406</v>
      </c>
      <c r="R2301" t="s">
        <v>1789</v>
      </c>
      <c r="S2301" t="s">
        <v>1366</v>
      </c>
      <c r="T2301" s="1" t="s">
        <v>1790</v>
      </c>
      <c r="U2301">
        <v>305</v>
      </c>
      <c r="V2301" t="s">
        <v>593</v>
      </c>
      <c r="W2301" t="s">
        <v>177</v>
      </c>
      <c r="X2301" t="s">
        <v>178</v>
      </c>
      <c r="Y2301" t="s">
        <v>597</v>
      </c>
    </row>
    <row r="2302" spans="1:25">
      <c r="A2302">
        <v>13532</v>
      </c>
      <c r="B2302" t="s">
        <v>25</v>
      </c>
      <c r="C2302" t="str">
        <f t="shared" si="72"/>
        <v>INTEGRA Hatchback</v>
      </c>
      <c r="D2302" t="str">
        <f t="shared" si="73"/>
        <v>1.5</v>
      </c>
      <c r="E2302" t="s">
        <v>1760</v>
      </c>
      <c r="F2302">
        <v>198501</v>
      </c>
      <c r="G2302">
        <v>199012</v>
      </c>
      <c r="H2302">
        <v>63</v>
      </c>
      <c r="I2302">
        <v>85</v>
      </c>
      <c r="J2302">
        <v>1488</v>
      </c>
      <c r="K2302">
        <v>4415591</v>
      </c>
      <c r="L2302" t="s">
        <v>193</v>
      </c>
      <c r="M2302" t="str">
        <f>"3PK0738"</f>
        <v>3PK0738</v>
      </c>
      <c r="N2302" t="str">
        <f>"3PK0738"</f>
        <v>3PK0738</v>
      </c>
      <c r="O2302" t="str">
        <f>""</f>
        <v/>
      </c>
      <c r="P2302" t="s">
        <v>593</v>
      </c>
      <c r="Q2302" t="str">
        <f>"4905601044247"</f>
        <v>4905601044247</v>
      </c>
      <c r="R2302" t="s">
        <v>1791</v>
      </c>
      <c r="S2302" t="s">
        <v>1366</v>
      </c>
      <c r="T2302" s="1" t="s">
        <v>1792</v>
      </c>
      <c r="U2302">
        <v>305</v>
      </c>
      <c r="V2302" t="s">
        <v>593</v>
      </c>
      <c r="W2302" t="s">
        <v>177</v>
      </c>
      <c r="X2302" t="s">
        <v>178</v>
      </c>
      <c r="Y2302" t="s">
        <v>597</v>
      </c>
    </row>
    <row r="2303" spans="1:25">
      <c r="A2303">
        <v>13532</v>
      </c>
      <c r="B2303" t="s">
        <v>25</v>
      </c>
      <c r="C2303" t="str">
        <f t="shared" si="72"/>
        <v>INTEGRA Hatchback</v>
      </c>
      <c r="D2303" t="str">
        <f t="shared" si="73"/>
        <v>1.5</v>
      </c>
      <c r="E2303" t="s">
        <v>1760</v>
      </c>
      <c r="F2303">
        <v>198501</v>
      </c>
      <c r="G2303">
        <v>199012</v>
      </c>
      <c r="H2303">
        <v>63</v>
      </c>
      <c r="I2303">
        <v>85</v>
      </c>
      <c r="J2303">
        <v>1488</v>
      </c>
      <c r="K2303">
        <v>61635</v>
      </c>
      <c r="L2303" t="s">
        <v>181</v>
      </c>
      <c r="M2303" t="str">
        <f>"86455084XS"</f>
        <v>86455084XS</v>
      </c>
      <c r="N2303" t="str">
        <f>"8645 5084xs"</f>
        <v>8645 5084xs</v>
      </c>
      <c r="O2303" t="str">
        <f>""</f>
        <v/>
      </c>
      <c r="P2303" t="s">
        <v>599</v>
      </c>
      <c r="Q2303" t="str">
        <f>""</f>
        <v/>
      </c>
      <c r="S2303" t="s">
        <v>600</v>
      </c>
      <c r="U2303">
        <v>306</v>
      </c>
      <c r="V2303" t="s">
        <v>599</v>
      </c>
      <c r="W2303" t="s">
        <v>177</v>
      </c>
      <c r="X2303" t="s">
        <v>178</v>
      </c>
      <c r="Y2303" t="s">
        <v>599</v>
      </c>
    </row>
    <row r="2304" spans="1:25">
      <c r="A2304">
        <v>13532</v>
      </c>
      <c r="B2304" t="s">
        <v>25</v>
      </c>
      <c r="C2304" t="str">
        <f t="shared" si="72"/>
        <v>INTEGRA Hatchback</v>
      </c>
      <c r="D2304" t="str">
        <f t="shared" si="73"/>
        <v>1.5</v>
      </c>
      <c r="E2304" t="s">
        <v>1760</v>
      </c>
      <c r="F2304">
        <v>198501</v>
      </c>
      <c r="G2304">
        <v>199012</v>
      </c>
      <c r="H2304">
        <v>63</v>
      </c>
      <c r="I2304">
        <v>85</v>
      </c>
      <c r="J2304">
        <v>1488</v>
      </c>
      <c r="K2304">
        <v>1532681</v>
      </c>
      <c r="L2304" t="s">
        <v>173</v>
      </c>
      <c r="M2304" t="str">
        <f>"5084XS"</f>
        <v>5084XS</v>
      </c>
      <c r="N2304" t="str">
        <f>"5084XS"</f>
        <v>5084XS</v>
      </c>
      <c r="O2304" t="str">
        <f>""</f>
        <v/>
      </c>
      <c r="P2304" t="s">
        <v>599</v>
      </c>
      <c r="Q2304" t="str">
        <f>"5412571008661"</f>
        <v>5412571008661</v>
      </c>
      <c r="R2304" t="s">
        <v>1793</v>
      </c>
      <c r="S2304" t="s">
        <v>600</v>
      </c>
      <c r="T2304" s="1" t="s">
        <v>1794</v>
      </c>
      <c r="U2304">
        <v>306</v>
      </c>
      <c r="V2304" t="s">
        <v>599</v>
      </c>
      <c r="W2304" t="s">
        <v>177</v>
      </c>
      <c r="X2304" t="s">
        <v>178</v>
      </c>
      <c r="Y2304" t="s">
        <v>599</v>
      </c>
    </row>
    <row r="2305" spans="1:25">
      <c r="A2305">
        <v>13532</v>
      </c>
      <c r="B2305" t="s">
        <v>25</v>
      </c>
      <c r="C2305" t="str">
        <f t="shared" si="72"/>
        <v>INTEGRA Hatchback</v>
      </c>
      <c r="D2305" t="str">
        <f t="shared" si="73"/>
        <v>1.5</v>
      </c>
      <c r="E2305" t="s">
        <v>1760</v>
      </c>
      <c r="F2305">
        <v>198501</v>
      </c>
      <c r="G2305">
        <v>199012</v>
      </c>
      <c r="H2305">
        <v>63</v>
      </c>
      <c r="I2305">
        <v>85</v>
      </c>
      <c r="J2305">
        <v>1488</v>
      </c>
      <c r="K2305">
        <v>3025527</v>
      </c>
      <c r="L2305" t="s">
        <v>33</v>
      </c>
      <c r="M2305" t="str">
        <f>"J1124032"</f>
        <v>J1124032</v>
      </c>
      <c r="N2305" t="str">
        <f>"J1124032"</f>
        <v>J1124032</v>
      </c>
      <c r="O2305" t="str">
        <f>""</f>
        <v/>
      </c>
      <c r="P2305" t="s">
        <v>599</v>
      </c>
      <c r="Q2305" t="str">
        <f>"8711768024963"</f>
        <v>8711768024963</v>
      </c>
      <c r="R2305" t="s">
        <v>603</v>
      </c>
      <c r="S2305" t="s">
        <v>604</v>
      </c>
      <c r="T2305" t="s">
        <v>605</v>
      </c>
      <c r="U2305">
        <v>306</v>
      </c>
      <c r="V2305" t="s">
        <v>599</v>
      </c>
      <c r="W2305" t="s">
        <v>177</v>
      </c>
      <c r="X2305" t="s">
        <v>178</v>
      </c>
      <c r="Y2305" t="s">
        <v>599</v>
      </c>
    </row>
    <row r="2306" spans="1:25">
      <c r="A2306">
        <v>13532</v>
      </c>
      <c r="B2306" t="s">
        <v>25</v>
      </c>
      <c r="C2306" t="str">
        <f t="shared" si="72"/>
        <v>INTEGRA Hatchback</v>
      </c>
      <c r="D2306" t="str">
        <f t="shared" si="73"/>
        <v>1.5</v>
      </c>
      <c r="E2306" t="s">
        <v>1760</v>
      </c>
      <c r="F2306">
        <v>198501</v>
      </c>
      <c r="G2306">
        <v>199012</v>
      </c>
      <c r="H2306">
        <v>63</v>
      </c>
      <c r="I2306">
        <v>85</v>
      </c>
      <c r="J2306">
        <v>1488</v>
      </c>
      <c r="K2306">
        <v>3963928</v>
      </c>
      <c r="L2306" t="s">
        <v>27</v>
      </c>
      <c r="M2306" t="str">
        <f>"H10411"</f>
        <v>H10411</v>
      </c>
      <c r="N2306" t="str">
        <f>"H104-11"</f>
        <v>H104-11</v>
      </c>
      <c r="O2306" t="str">
        <f>""</f>
        <v/>
      </c>
      <c r="P2306" t="s">
        <v>599</v>
      </c>
      <c r="Q2306" t="str">
        <f>"8718993209967"</f>
        <v>8718993209967</v>
      </c>
      <c r="R2306" t="s">
        <v>606</v>
      </c>
      <c r="S2306" t="s">
        <v>604</v>
      </c>
      <c r="T2306" s="1" t="s">
        <v>607</v>
      </c>
      <c r="U2306">
        <v>306</v>
      </c>
      <c r="V2306" t="s">
        <v>599</v>
      </c>
      <c r="W2306" t="s">
        <v>177</v>
      </c>
      <c r="X2306" t="s">
        <v>178</v>
      </c>
      <c r="Y2306" t="s">
        <v>599</v>
      </c>
    </row>
    <row r="2307" spans="1:25">
      <c r="A2307">
        <v>13532</v>
      </c>
      <c r="B2307" t="s">
        <v>25</v>
      </c>
      <c r="C2307" t="str">
        <f t="shared" si="72"/>
        <v>INTEGRA Hatchback</v>
      </c>
      <c r="D2307" t="str">
        <f t="shared" si="73"/>
        <v>1.5</v>
      </c>
      <c r="E2307" t="s">
        <v>1760</v>
      </c>
      <c r="F2307">
        <v>198501</v>
      </c>
      <c r="G2307">
        <v>199012</v>
      </c>
      <c r="H2307">
        <v>63</v>
      </c>
      <c r="I2307">
        <v>85</v>
      </c>
      <c r="J2307">
        <v>1488</v>
      </c>
      <c r="K2307">
        <v>4415320</v>
      </c>
      <c r="L2307" t="s">
        <v>193</v>
      </c>
      <c r="M2307" t="str">
        <f>"101EL24"</f>
        <v>101EL24</v>
      </c>
      <c r="N2307" t="str">
        <f>"101EL24"</f>
        <v>101EL24</v>
      </c>
      <c r="O2307" t="str">
        <f>""</f>
        <v/>
      </c>
      <c r="P2307" t="s">
        <v>599</v>
      </c>
      <c r="Q2307" t="str">
        <f>"4905601043424"</f>
        <v>4905601043424</v>
      </c>
      <c r="R2307" t="s">
        <v>1793</v>
      </c>
      <c r="S2307" t="s">
        <v>1795</v>
      </c>
      <c r="T2307" t="s">
        <v>1796</v>
      </c>
      <c r="U2307">
        <v>306</v>
      </c>
      <c r="V2307" t="s">
        <v>599</v>
      </c>
      <c r="W2307" t="s">
        <v>177</v>
      </c>
      <c r="X2307" t="s">
        <v>178</v>
      </c>
      <c r="Y2307" t="s">
        <v>599</v>
      </c>
    </row>
    <row r="2308" spans="1:25">
      <c r="A2308">
        <v>13532</v>
      </c>
      <c r="B2308" t="s">
        <v>25</v>
      </c>
      <c r="C2308" t="str">
        <f t="shared" si="72"/>
        <v>INTEGRA Hatchback</v>
      </c>
      <c r="D2308" t="str">
        <f t="shared" si="73"/>
        <v>1.5</v>
      </c>
      <c r="E2308" t="s">
        <v>1760</v>
      </c>
      <c r="F2308">
        <v>198501</v>
      </c>
      <c r="G2308">
        <v>199012</v>
      </c>
      <c r="H2308">
        <v>63</v>
      </c>
      <c r="I2308">
        <v>85</v>
      </c>
      <c r="J2308">
        <v>1488</v>
      </c>
      <c r="K2308">
        <v>3025278</v>
      </c>
      <c r="L2308" t="s">
        <v>33</v>
      </c>
      <c r="M2308" t="str">
        <f>"J1114017"</f>
        <v>J1114017</v>
      </c>
      <c r="N2308" t="str">
        <f>"J1114017"</f>
        <v>J1114017</v>
      </c>
      <c r="O2308" t="str">
        <f>""</f>
        <v/>
      </c>
      <c r="P2308" t="s">
        <v>608</v>
      </c>
      <c r="Q2308" t="str">
        <f>"8711768023843"</f>
        <v>8711768023843</v>
      </c>
      <c r="S2308" t="s">
        <v>600</v>
      </c>
      <c r="T2308" t="s">
        <v>609</v>
      </c>
      <c r="U2308">
        <v>307</v>
      </c>
      <c r="V2308" t="s">
        <v>608</v>
      </c>
      <c r="W2308" t="s">
        <v>610</v>
      </c>
      <c r="X2308" t="s">
        <v>178</v>
      </c>
      <c r="Y2308" t="s">
        <v>599</v>
      </c>
    </row>
    <row r="2309" spans="1:25">
      <c r="A2309">
        <v>13532</v>
      </c>
      <c r="B2309" t="s">
        <v>25</v>
      </c>
      <c r="C2309" t="str">
        <f t="shared" si="72"/>
        <v>INTEGRA Hatchback</v>
      </c>
      <c r="D2309" t="str">
        <f t="shared" si="73"/>
        <v>1.5</v>
      </c>
      <c r="E2309" t="s">
        <v>1760</v>
      </c>
      <c r="F2309">
        <v>198501</v>
      </c>
      <c r="G2309">
        <v>199012</v>
      </c>
      <c r="H2309">
        <v>63</v>
      </c>
      <c r="I2309">
        <v>85</v>
      </c>
      <c r="J2309">
        <v>1488</v>
      </c>
      <c r="K2309">
        <v>3951809</v>
      </c>
      <c r="L2309" t="s">
        <v>27</v>
      </c>
      <c r="M2309" t="str">
        <f>"03337104"</f>
        <v>03337104</v>
      </c>
      <c r="N2309" t="str">
        <f>"0333-7104"</f>
        <v>0333-7104</v>
      </c>
      <c r="O2309" t="str">
        <f>""</f>
        <v/>
      </c>
      <c r="P2309" t="s">
        <v>608</v>
      </c>
      <c r="Q2309" t="str">
        <f>"8718993002216"</f>
        <v>8718993002216</v>
      </c>
      <c r="S2309" t="s">
        <v>600</v>
      </c>
      <c r="T2309" t="s">
        <v>611</v>
      </c>
      <c r="U2309">
        <v>307</v>
      </c>
      <c r="V2309" t="s">
        <v>608</v>
      </c>
      <c r="W2309" t="s">
        <v>610</v>
      </c>
      <c r="X2309" t="s">
        <v>178</v>
      </c>
      <c r="Y2309" t="s">
        <v>599</v>
      </c>
    </row>
    <row r="2310" spans="1:25">
      <c r="A2310">
        <v>13532</v>
      </c>
      <c r="B2310" t="s">
        <v>25</v>
      </c>
      <c r="C2310" t="str">
        <f t="shared" ref="C2310:C2373" si="74">"INTEGRA Hatchback"</f>
        <v>INTEGRA Hatchback</v>
      </c>
      <c r="D2310" t="str">
        <f t="shared" ref="D2310:D2373" si="75">"1.5"</f>
        <v>1.5</v>
      </c>
      <c r="E2310" t="s">
        <v>1760</v>
      </c>
      <c r="F2310">
        <v>198501</v>
      </c>
      <c r="G2310">
        <v>199012</v>
      </c>
      <c r="H2310">
        <v>63</v>
      </c>
      <c r="I2310">
        <v>85</v>
      </c>
      <c r="J2310">
        <v>1488</v>
      </c>
      <c r="K2310">
        <v>3025838</v>
      </c>
      <c r="L2310" t="s">
        <v>33</v>
      </c>
      <c r="M2310" t="str">
        <f>"J1144007"</f>
        <v>J1144007</v>
      </c>
      <c r="N2310" t="str">
        <f>"J1144007"</f>
        <v>J1144007</v>
      </c>
      <c r="O2310" t="str">
        <f>""</f>
        <v/>
      </c>
      <c r="P2310" t="s">
        <v>612</v>
      </c>
      <c r="Q2310" t="str">
        <f>"8711768026912"</f>
        <v>8711768026912</v>
      </c>
      <c r="S2310" t="s">
        <v>613</v>
      </c>
      <c r="T2310" s="1" t="s">
        <v>614</v>
      </c>
      <c r="U2310">
        <v>308</v>
      </c>
      <c r="V2310" t="s">
        <v>612</v>
      </c>
      <c r="W2310" t="s">
        <v>615</v>
      </c>
      <c r="X2310" t="s">
        <v>178</v>
      </c>
      <c r="Y2310" t="s">
        <v>616</v>
      </c>
    </row>
    <row r="2311" spans="1:25">
      <c r="A2311">
        <v>13532</v>
      </c>
      <c r="B2311" t="s">
        <v>25</v>
      </c>
      <c r="C2311" t="str">
        <f t="shared" si="74"/>
        <v>INTEGRA Hatchback</v>
      </c>
      <c r="D2311" t="str">
        <f t="shared" si="75"/>
        <v>1.5</v>
      </c>
      <c r="E2311" t="s">
        <v>1760</v>
      </c>
      <c r="F2311">
        <v>198501</v>
      </c>
      <c r="G2311">
        <v>199012</v>
      </c>
      <c r="H2311">
        <v>63</v>
      </c>
      <c r="I2311">
        <v>85</v>
      </c>
      <c r="J2311">
        <v>1488</v>
      </c>
      <c r="K2311">
        <v>3965036</v>
      </c>
      <c r="L2311" t="s">
        <v>27</v>
      </c>
      <c r="M2311" t="str">
        <f>"H88030"</f>
        <v>H88030</v>
      </c>
      <c r="N2311" t="str">
        <f>"H880-30"</f>
        <v>H880-30</v>
      </c>
      <c r="O2311" t="str">
        <f>""</f>
        <v/>
      </c>
      <c r="P2311" t="s">
        <v>612</v>
      </c>
      <c r="Q2311" t="str">
        <f>"8718993222409"</f>
        <v>8718993222409</v>
      </c>
      <c r="R2311" t="s">
        <v>617</v>
      </c>
      <c r="S2311" t="s">
        <v>618</v>
      </c>
      <c r="T2311" s="1" t="s">
        <v>619</v>
      </c>
      <c r="U2311">
        <v>308</v>
      </c>
      <c r="V2311" t="s">
        <v>612</v>
      </c>
      <c r="W2311" t="s">
        <v>615</v>
      </c>
      <c r="X2311" t="s">
        <v>178</v>
      </c>
      <c r="Y2311" t="s">
        <v>616</v>
      </c>
    </row>
    <row r="2312" spans="1:25">
      <c r="A2312">
        <v>13532</v>
      </c>
      <c r="B2312" t="s">
        <v>25</v>
      </c>
      <c r="C2312" t="str">
        <f t="shared" si="74"/>
        <v>INTEGRA Hatchback</v>
      </c>
      <c r="D2312" t="str">
        <f t="shared" si="75"/>
        <v>1.5</v>
      </c>
      <c r="E2312" t="s">
        <v>1760</v>
      </c>
      <c r="F2312">
        <v>198501</v>
      </c>
      <c r="G2312">
        <v>199012</v>
      </c>
      <c r="H2312">
        <v>63</v>
      </c>
      <c r="I2312">
        <v>85</v>
      </c>
      <c r="J2312">
        <v>1488</v>
      </c>
      <c r="K2312">
        <v>3965039</v>
      </c>
      <c r="L2312" t="s">
        <v>27</v>
      </c>
      <c r="M2312" t="str">
        <f>"H88041"</f>
        <v>H88041</v>
      </c>
      <c r="N2312" t="str">
        <f>"H880-41"</f>
        <v>H880-41</v>
      </c>
      <c r="O2312" t="str">
        <f>""</f>
        <v/>
      </c>
      <c r="P2312" t="s">
        <v>612</v>
      </c>
      <c r="Q2312" t="str">
        <f>"8718993222430"</f>
        <v>8718993222430</v>
      </c>
      <c r="R2312" t="s">
        <v>620</v>
      </c>
      <c r="T2312" t="s">
        <v>621</v>
      </c>
      <c r="U2312">
        <v>308</v>
      </c>
      <c r="V2312" t="s">
        <v>612</v>
      </c>
      <c r="W2312" t="s">
        <v>615</v>
      </c>
      <c r="X2312" t="s">
        <v>178</v>
      </c>
      <c r="Y2312" t="s">
        <v>616</v>
      </c>
    </row>
    <row r="2313" spans="1:25">
      <c r="A2313">
        <v>13532</v>
      </c>
      <c r="B2313" t="s">
        <v>25</v>
      </c>
      <c r="C2313" t="str">
        <f t="shared" si="74"/>
        <v>INTEGRA Hatchback</v>
      </c>
      <c r="D2313" t="str">
        <f t="shared" si="75"/>
        <v>1.5</v>
      </c>
      <c r="E2313" t="s">
        <v>1760</v>
      </c>
      <c r="F2313">
        <v>198501</v>
      </c>
      <c r="G2313">
        <v>199012</v>
      </c>
      <c r="H2313">
        <v>63</v>
      </c>
      <c r="I2313">
        <v>85</v>
      </c>
      <c r="J2313">
        <v>1488</v>
      </c>
      <c r="K2313">
        <v>1536701</v>
      </c>
      <c r="L2313" t="s">
        <v>173</v>
      </c>
      <c r="M2313" t="str">
        <f>"TH14178G2"</f>
        <v>TH14178G2</v>
      </c>
      <c r="N2313" t="str">
        <f>"TH14178G2"</f>
        <v>TH14178G2</v>
      </c>
      <c r="O2313" t="str">
        <f>""</f>
        <v/>
      </c>
      <c r="P2313" t="s">
        <v>622</v>
      </c>
      <c r="Q2313" t="str">
        <f>"5414465401558"</f>
        <v>5414465401558</v>
      </c>
      <c r="R2313" t="s">
        <v>623</v>
      </c>
      <c r="T2313" s="1" t="s">
        <v>624</v>
      </c>
      <c r="U2313">
        <v>316</v>
      </c>
      <c r="V2313" t="s">
        <v>622</v>
      </c>
      <c r="W2313" t="s">
        <v>625</v>
      </c>
      <c r="X2313" t="s">
        <v>626</v>
      </c>
      <c r="Y2313" t="s">
        <v>627</v>
      </c>
    </row>
    <row r="2314" spans="1:25">
      <c r="A2314">
        <v>13532</v>
      </c>
      <c r="B2314" t="s">
        <v>25</v>
      </c>
      <c r="C2314" t="str">
        <f t="shared" si="74"/>
        <v>INTEGRA Hatchback</v>
      </c>
      <c r="D2314" t="str">
        <f t="shared" si="75"/>
        <v>1.5</v>
      </c>
      <c r="E2314" t="s">
        <v>1760</v>
      </c>
      <c r="F2314">
        <v>198501</v>
      </c>
      <c r="G2314">
        <v>199012</v>
      </c>
      <c r="H2314">
        <v>63</v>
      </c>
      <c r="I2314">
        <v>85</v>
      </c>
      <c r="J2314">
        <v>1488</v>
      </c>
      <c r="K2314">
        <v>3027626</v>
      </c>
      <c r="L2314" t="s">
        <v>33</v>
      </c>
      <c r="M2314" t="str">
        <f>"J1534001"</f>
        <v>J1534001</v>
      </c>
      <c r="N2314" t="str">
        <f>"J1534001"</f>
        <v>J1534001</v>
      </c>
      <c r="O2314" t="str">
        <f>""</f>
        <v/>
      </c>
      <c r="P2314" t="s">
        <v>622</v>
      </c>
      <c r="Q2314" t="str">
        <f>"8711768039264"</f>
        <v>8711768039264</v>
      </c>
      <c r="R2314" t="s">
        <v>628</v>
      </c>
      <c r="T2314" t="s">
        <v>629</v>
      </c>
      <c r="U2314">
        <v>316</v>
      </c>
      <c r="V2314" t="s">
        <v>622</v>
      </c>
      <c r="W2314" t="s">
        <v>625</v>
      </c>
      <c r="X2314" t="s">
        <v>626</v>
      </c>
      <c r="Y2314" t="s">
        <v>627</v>
      </c>
    </row>
    <row r="2315" spans="1:25">
      <c r="A2315">
        <v>13532</v>
      </c>
      <c r="B2315" t="s">
        <v>25</v>
      </c>
      <c r="C2315" t="str">
        <f t="shared" si="74"/>
        <v>INTEGRA Hatchback</v>
      </c>
      <c r="D2315" t="str">
        <f t="shared" si="75"/>
        <v>1.5</v>
      </c>
      <c r="E2315" t="s">
        <v>1760</v>
      </c>
      <c r="F2315">
        <v>198501</v>
      </c>
      <c r="G2315">
        <v>199012</v>
      </c>
      <c r="H2315">
        <v>63</v>
      </c>
      <c r="I2315">
        <v>85</v>
      </c>
      <c r="J2315">
        <v>1488</v>
      </c>
      <c r="K2315">
        <v>3726272</v>
      </c>
      <c r="L2315" t="s">
        <v>630</v>
      </c>
      <c r="M2315" t="str">
        <f>"36382"</f>
        <v>36382</v>
      </c>
      <c r="N2315" t="str">
        <f>"363-82"</f>
        <v>363-82</v>
      </c>
      <c r="O2315" t="str">
        <f>""</f>
        <v/>
      </c>
      <c r="P2315" t="s">
        <v>622</v>
      </c>
      <c r="Q2315" t="str">
        <f>""</f>
        <v/>
      </c>
      <c r="R2315" t="s">
        <v>631</v>
      </c>
      <c r="S2315" t="s">
        <v>632</v>
      </c>
      <c r="T2315" s="1" t="s">
        <v>633</v>
      </c>
      <c r="U2315">
        <v>316</v>
      </c>
      <c r="V2315" t="s">
        <v>622</v>
      </c>
      <c r="W2315" t="s">
        <v>625</v>
      </c>
      <c r="X2315" t="s">
        <v>626</v>
      </c>
      <c r="Y2315" t="s">
        <v>627</v>
      </c>
    </row>
    <row r="2316" spans="1:25">
      <c r="A2316">
        <v>13532</v>
      </c>
      <c r="B2316" t="s">
        <v>25</v>
      </c>
      <c r="C2316" t="str">
        <f t="shared" si="74"/>
        <v>INTEGRA Hatchback</v>
      </c>
      <c r="D2316" t="str">
        <f t="shared" si="75"/>
        <v>1.5</v>
      </c>
      <c r="E2316" t="s">
        <v>1760</v>
      </c>
      <c r="F2316">
        <v>198501</v>
      </c>
      <c r="G2316">
        <v>199012</v>
      </c>
      <c r="H2316">
        <v>63</v>
      </c>
      <c r="I2316">
        <v>85</v>
      </c>
      <c r="J2316">
        <v>1488</v>
      </c>
      <c r="K2316">
        <v>3963953</v>
      </c>
      <c r="L2316" t="s">
        <v>27</v>
      </c>
      <c r="M2316" t="str">
        <f>"H10603"</f>
        <v>H10603</v>
      </c>
      <c r="N2316" t="str">
        <f>"H106-03"</f>
        <v>H106-03</v>
      </c>
      <c r="O2316" t="str">
        <f>""</f>
        <v/>
      </c>
      <c r="P2316" t="s">
        <v>622</v>
      </c>
      <c r="Q2316" t="str">
        <f>"8718993210246"</f>
        <v>8718993210246</v>
      </c>
      <c r="R2316" t="s">
        <v>634</v>
      </c>
      <c r="T2316" s="1" t="s">
        <v>635</v>
      </c>
      <c r="U2316">
        <v>316</v>
      </c>
      <c r="V2316" t="s">
        <v>622</v>
      </c>
      <c r="W2316" t="s">
        <v>625</v>
      </c>
      <c r="X2316" t="s">
        <v>626</v>
      </c>
      <c r="Y2316" t="s">
        <v>627</v>
      </c>
    </row>
    <row r="2317" spans="1:25">
      <c r="A2317">
        <v>13532</v>
      </c>
      <c r="B2317" t="s">
        <v>25</v>
      </c>
      <c r="C2317" t="str">
        <f t="shared" si="74"/>
        <v>INTEGRA Hatchback</v>
      </c>
      <c r="D2317" t="str">
        <f t="shared" si="75"/>
        <v>1.5</v>
      </c>
      <c r="E2317" t="s">
        <v>1760</v>
      </c>
      <c r="F2317">
        <v>198501</v>
      </c>
      <c r="G2317">
        <v>199012</v>
      </c>
      <c r="H2317">
        <v>63</v>
      </c>
      <c r="I2317">
        <v>85</v>
      </c>
      <c r="J2317">
        <v>1488</v>
      </c>
      <c r="K2317">
        <v>2249150</v>
      </c>
      <c r="L2317" t="s">
        <v>636</v>
      </c>
      <c r="M2317" t="str">
        <f>"BM990"</f>
        <v>BM990</v>
      </c>
      <c r="N2317" t="str">
        <f>"BM990"</f>
        <v>BM990</v>
      </c>
      <c r="O2317" t="str">
        <f>""</f>
        <v/>
      </c>
      <c r="P2317" t="s">
        <v>637</v>
      </c>
      <c r="Q2317" t="str">
        <f>""</f>
        <v/>
      </c>
      <c r="R2317" t="s">
        <v>638</v>
      </c>
      <c r="S2317" t="s">
        <v>102</v>
      </c>
      <c r="T2317" s="1" t="s">
        <v>639</v>
      </c>
      <c r="U2317">
        <v>318</v>
      </c>
      <c r="V2317" t="s">
        <v>637</v>
      </c>
      <c r="W2317" t="s">
        <v>640</v>
      </c>
      <c r="X2317" t="s">
        <v>641</v>
      </c>
      <c r="Y2317" t="s">
        <v>642</v>
      </c>
    </row>
    <row r="2318" spans="1:25">
      <c r="A2318">
        <v>13532</v>
      </c>
      <c r="B2318" t="s">
        <v>25</v>
      </c>
      <c r="C2318" t="str">
        <f t="shared" si="74"/>
        <v>INTEGRA Hatchback</v>
      </c>
      <c r="D2318" t="str">
        <f t="shared" si="75"/>
        <v>1.5</v>
      </c>
      <c r="E2318" t="s">
        <v>1760</v>
      </c>
      <c r="F2318">
        <v>198501</v>
      </c>
      <c r="G2318">
        <v>199012</v>
      </c>
      <c r="H2318">
        <v>63</v>
      </c>
      <c r="I2318">
        <v>85</v>
      </c>
      <c r="J2318">
        <v>1488</v>
      </c>
      <c r="K2318">
        <v>3026240</v>
      </c>
      <c r="L2318" t="s">
        <v>33</v>
      </c>
      <c r="M2318" t="str">
        <f>"J1254003"</f>
        <v>J1254003</v>
      </c>
      <c r="N2318" t="str">
        <f>"J1254003"</f>
        <v>J1254003</v>
      </c>
      <c r="O2318" t="str">
        <f>""</f>
        <v/>
      </c>
      <c r="P2318" t="s">
        <v>637</v>
      </c>
      <c r="Q2318" t="str">
        <f>"8711768082246"</f>
        <v>8711768082246</v>
      </c>
      <c r="R2318" t="s">
        <v>643</v>
      </c>
      <c r="S2318" t="s">
        <v>644</v>
      </c>
      <c r="T2318" t="s">
        <v>645</v>
      </c>
      <c r="U2318">
        <v>318</v>
      </c>
      <c r="V2318" t="s">
        <v>637</v>
      </c>
      <c r="W2318" t="s">
        <v>640</v>
      </c>
      <c r="X2318" t="s">
        <v>641</v>
      </c>
      <c r="Y2318" t="s">
        <v>642</v>
      </c>
    </row>
    <row r="2319" spans="1:25">
      <c r="A2319">
        <v>13532</v>
      </c>
      <c r="B2319" t="s">
        <v>25</v>
      </c>
      <c r="C2319" t="str">
        <f t="shared" si="74"/>
        <v>INTEGRA Hatchback</v>
      </c>
      <c r="D2319" t="str">
        <f t="shared" si="75"/>
        <v>1.5</v>
      </c>
      <c r="E2319" t="s">
        <v>1760</v>
      </c>
      <c r="F2319">
        <v>198501</v>
      </c>
      <c r="G2319">
        <v>199012</v>
      </c>
      <c r="H2319">
        <v>63</v>
      </c>
      <c r="I2319">
        <v>85</v>
      </c>
      <c r="J2319">
        <v>1488</v>
      </c>
      <c r="K2319">
        <v>202163</v>
      </c>
      <c r="L2319" t="s">
        <v>33</v>
      </c>
      <c r="M2319" t="str">
        <f>"J1244034"</f>
        <v>J1244034</v>
      </c>
      <c r="N2319" t="str">
        <f>"J1244034"</f>
        <v>J1244034</v>
      </c>
      <c r="O2319" t="str">
        <f>""</f>
        <v/>
      </c>
      <c r="P2319" t="s">
        <v>646</v>
      </c>
      <c r="Q2319" t="str">
        <f>"8711768030643"</f>
        <v>8711768030643</v>
      </c>
      <c r="R2319" t="s">
        <v>647</v>
      </c>
      <c r="T2319" t="s">
        <v>648</v>
      </c>
      <c r="U2319">
        <v>319</v>
      </c>
      <c r="V2319" t="s">
        <v>646</v>
      </c>
      <c r="W2319" t="s">
        <v>649</v>
      </c>
      <c r="X2319" t="s">
        <v>641</v>
      </c>
    </row>
    <row r="2320" spans="1:25">
      <c r="A2320">
        <v>13532</v>
      </c>
      <c r="B2320" t="s">
        <v>25</v>
      </c>
      <c r="C2320" t="str">
        <f t="shared" si="74"/>
        <v>INTEGRA Hatchback</v>
      </c>
      <c r="D2320" t="str">
        <f t="shared" si="75"/>
        <v>1.5</v>
      </c>
      <c r="E2320" t="s">
        <v>1760</v>
      </c>
      <c r="F2320">
        <v>198501</v>
      </c>
      <c r="G2320">
        <v>199012</v>
      </c>
      <c r="H2320">
        <v>63</v>
      </c>
      <c r="I2320">
        <v>85</v>
      </c>
      <c r="J2320">
        <v>1488</v>
      </c>
      <c r="K2320">
        <v>590147</v>
      </c>
      <c r="L2320" t="s">
        <v>636</v>
      </c>
      <c r="M2320" t="str">
        <f>"DM995"</f>
        <v>DM995</v>
      </c>
      <c r="N2320" t="str">
        <f>"DM995"</f>
        <v>DM995</v>
      </c>
      <c r="O2320" t="str">
        <f>""</f>
        <v/>
      </c>
      <c r="P2320" t="s">
        <v>646</v>
      </c>
      <c r="Q2320" t="str">
        <f>""</f>
        <v/>
      </c>
      <c r="R2320" t="s">
        <v>650</v>
      </c>
      <c r="S2320" t="s">
        <v>102</v>
      </c>
      <c r="T2320" s="1" t="s">
        <v>651</v>
      </c>
      <c r="U2320">
        <v>319</v>
      </c>
      <c r="V2320" t="s">
        <v>646</v>
      </c>
      <c r="W2320" t="s">
        <v>649</v>
      </c>
      <c r="X2320" t="s">
        <v>641</v>
      </c>
    </row>
    <row r="2321" spans="1:25">
      <c r="A2321">
        <v>13532</v>
      </c>
      <c r="B2321" t="s">
        <v>25</v>
      </c>
      <c r="C2321" t="str">
        <f t="shared" si="74"/>
        <v>INTEGRA Hatchback</v>
      </c>
      <c r="D2321" t="str">
        <f t="shared" si="75"/>
        <v>1.5</v>
      </c>
      <c r="E2321" t="s">
        <v>1760</v>
      </c>
      <c r="F2321">
        <v>198501</v>
      </c>
      <c r="G2321">
        <v>199012</v>
      </c>
      <c r="H2321">
        <v>63</v>
      </c>
      <c r="I2321">
        <v>85</v>
      </c>
      <c r="J2321">
        <v>1488</v>
      </c>
      <c r="K2321">
        <v>3964117</v>
      </c>
      <c r="L2321" t="s">
        <v>27</v>
      </c>
      <c r="M2321" t="str">
        <f>"H22522"</f>
        <v>H22522</v>
      </c>
      <c r="N2321" t="str">
        <f>"H225-22"</f>
        <v>H225-22</v>
      </c>
      <c r="O2321" t="str">
        <f>""</f>
        <v/>
      </c>
      <c r="P2321" t="s">
        <v>646</v>
      </c>
      <c r="Q2321" t="str">
        <f>"8718993212684"</f>
        <v>8718993212684</v>
      </c>
      <c r="R2321" t="s">
        <v>652</v>
      </c>
      <c r="T2321" s="1" t="s">
        <v>653</v>
      </c>
      <c r="U2321">
        <v>319</v>
      </c>
      <c r="V2321" t="s">
        <v>646</v>
      </c>
      <c r="W2321" t="s">
        <v>649</v>
      </c>
      <c r="X2321" t="s">
        <v>641</v>
      </c>
    </row>
    <row r="2322" spans="1:25">
      <c r="A2322">
        <v>13532</v>
      </c>
      <c r="B2322" t="s">
        <v>25</v>
      </c>
      <c r="C2322" t="str">
        <f t="shared" si="74"/>
        <v>INTEGRA Hatchback</v>
      </c>
      <c r="D2322" t="str">
        <f t="shared" si="75"/>
        <v>1.5</v>
      </c>
      <c r="E2322" t="s">
        <v>1760</v>
      </c>
      <c r="F2322">
        <v>198501</v>
      </c>
      <c r="G2322">
        <v>199012</v>
      </c>
      <c r="H2322">
        <v>63</v>
      </c>
      <c r="I2322">
        <v>85</v>
      </c>
      <c r="J2322">
        <v>1488</v>
      </c>
      <c r="K2322">
        <v>201924</v>
      </c>
      <c r="L2322" t="s">
        <v>33</v>
      </c>
      <c r="M2322" t="str">
        <f>"J1224006"</f>
        <v>J1224006</v>
      </c>
      <c r="N2322" t="str">
        <f>"J1224006"</f>
        <v>J1224006</v>
      </c>
      <c r="O2322" t="str">
        <f>""</f>
        <v/>
      </c>
      <c r="P2322" t="s">
        <v>654</v>
      </c>
      <c r="Q2322" t="str">
        <f>"8711768028565"</f>
        <v>8711768028565</v>
      </c>
      <c r="T2322" t="s">
        <v>655</v>
      </c>
      <c r="U2322">
        <v>321</v>
      </c>
      <c r="V2322" t="s">
        <v>654</v>
      </c>
      <c r="W2322" t="s">
        <v>640</v>
      </c>
      <c r="X2322" t="s">
        <v>641</v>
      </c>
      <c r="Y2322" t="s">
        <v>656</v>
      </c>
    </row>
    <row r="2323" spans="1:25">
      <c r="A2323">
        <v>13532</v>
      </c>
      <c r="B2323" t="s">
        <v>25</v>
      </c>
      <c r="C2323" t="str">
        <f t="shared" si="74"/>
        <v>INTEGRA Hatchback</v>
      </c>
      <c r="D2323" t="str">
        <f t="shared" si="75"/>
        <v>1.5</v>
      </c>
      <c r="E2323" t="s">
        <v>1760</v>
      </c>
      <c r="F2323">
        <v>198501</v>
      </c>
      <c r="G2323">
        <v>199012</v>
      </c>
      <c r="H2323">
        <v>63</v>
      </c>
      <c r="I2323">
        <v>85</v>
      </c>
      <c r="J2323">
        <v>1488</v>
      </c>
      <c r="K2323">
        <v>3964133</v>
      </c>
      <c r="L2323" t="s">
        <v>27</v>
      </c>
      <c r="M2323" t="str">
        <f>"H23504"</f>
        <v>H23504</v>
      </c>
      <c r="N2323" t="str">
        <f>"H235-04"</f>
        <v>H235-04</v>
      </c>
      <c r="O2323" t="str">
        <f>""</f>
        <v/>
      </c>
      <c r="P2323" t="s">
        <v>654</v>
      </c>
      <c r="Q2323" t="str">
        <f>"8718993212905"</f>
        <v>8718993212905</v>
      </c>
      <c r="R2323" t="s">
        <v>657</v>
      </c>
      <c r="T2323" s="1" t="s">
        <v>658</v>
      </c>
      <c r="U2323">
        <v>321</v>
      </c>
      <c r="V2323" t="s">
        <v>654</v>
      </c>
      <c r="W2323" t="s">
        <v>640</v>
      </c>
      <c r="X2323" t="s">
        <v>641</v>
      </c>
      <c r="Y2323" t="s">
        <v>656</v>
      </c>
    </row>
    <row r="2324" spans="1:25">
      <c r="A2324">
        <v>13532</v>
      </c>
      <c r="B2324" t="s">
        <v>25</v>
      </c>
      <c r="C2324" t="str">
        <f t="shared" si="74"/>
        <v>INTEGRA Hatchback</v>
      </c>
      <c r="D2324" t="str">
        <f t="shared" si="75"/>
        <v>1.5</v>
      </c>
      <c r="E2324" t="s">
        <v>1760</v>
      </c>
      <c r="F2324">
        <v>198501</v>
      </c>
      <c r="G2324">
        <v>199012</v>
      </c>
      <c r="H2324">
        <v>63</v>
      </c>
      <c r="I2324">
        <v>85</v>
      </c>
      <c r="J2324">
        <v>1488</v>
      </c>
      <c r="K2324">
        <v>572593</v>
      </c>
      <c r="L2324" t="s">
        <v>659</v>
      </c>
      <c r="M2324" t="str">
        <f>"084300"</f>
        <v>084300</v>
      </c>
      <c r="N2324" t="str">
        <f>"084.300"</f>
        <v>084.300</v>
      </c>
      <c r="O2324" t="str">
        <f>""</f>
        <v/>
      </c>
      <c r="P2324" t="s">
        <v>660</v>
      </c>
      <c r="Q2324" t="str">
        <f>"4041248150214"</f>
        <v>4041248150214</v>
      </c>
      <c r="R2324" t="s">
        <v>661</v>
      </c>
      <c r="T2324" t="s">
        <v>662</v>
      </c>
      <c r="U2324">
        <v>323</v>
      </c>
      <c r="V2324" t="s">
        <v>660</v>
      </c>
      <c r="W2324" t="s">
        <v>649</v>
      </c>
      <c r="X2324" t="s">
        <v>641</v>
      </c>
      <c r="Y2324" t="s">
        <v>663</v>
      </c>
    </row>
    <row r="2325" spans="1:25">
      <c r="A2325">
        <v>13532</v>
      </c>
      <c r="B2325" t="s">
        <v>25</v>
      </c>
      <c r="C2325" t="str">
        <f t="shared" si="74"/>
        <v>INTEGRA Hatchback</v>
      </c>
      <c r="D2325" t="str">
        <f t="shared" si="75"/>
        <v>1.5</v>
      </c>
      <c r="E2325" t="s">
        <v>1760</v>
      </c>
      <c r="F2325">
        <v>198501</v>
      </c>
      <c r="G2325">
        <v>199012</v>
      </c>
      <c r="H2325">
        <v>63</v>
      </c>
      <c r="I2325">
        <v>85</v>
      </c>
      <c r="J2325">
        <v>1488</v>
      </c>
      <c r="K2325">
        <v>199157</v>
      </c>
      <c r="L2325" t="s">
        <v>384</v>
      </c>
      <c r="M2325" t="str">
        <f>"NP2279"</f>
        <v>NP2279</v>
      </c>
      <c r="N2325" t="str">
        <f>"NP2279"</f>
        <v>NP2279</v>
      </c>
      <c r="O2325" t="str">
        <f>""</f>
        <v/>
      </c>
      <c r="P2325" t="s">
        <v>664</v>
      </c>
      <c r="Q2325" t="str">
        <f>""</f>
        <v/>
      </c>
      <c r="R2325" t="s">
        <v>665</v>
      </c>
      <c r="S2325" t="s">
        <v>666</v>
      </c>
      <c r="T2325" s="1" t="s">
        <v>667</v>
      </c>
      <c r="U2325">
        <v>402</v>
      </c>
      <c r="V2325" t="s">
        <v>664</v>
      </c>
      <c r="W2325" t="s">
        <v>668</v>
      </c>
      <c r="X2325" t="s">
        <v>224</v>
      </c>
    </row>
    <row r="2326" spans="1:25">
      <c r="A2326">
        <v>13532</v>
      </c>
      <c r="B2326" t="s">
        <v>25</v>
      </c>
      <c r="C2326" t="str">
        <f t="shared" si="74"/>
        <v>INTEGRA Hatchback</v>
      </c>
      <c r="D2326" t="str">
        <f t="shared" si="75"/>
        <v>1.5</v>
      </c>
      <c r="E2326" t="s">
        <v>1760</v>
      </c>
      <c r="F2326">
        <v>198501</v>
      </c>
      <c r="G2326">
        <v>199012</v>
      </c>
      <c r="H2326">
        <v>63</v>
      </c>
      <c r="I2326">
        <v>85</v>
      </c>
      <c r="J2326">
        <v>1488</v>
      </c>
      <c r="K2326">
        <v>450082</v>
      </c>
      <c r="L2326" t="s">
        <v>669</v>
      </c>
      <c r="M2326" t="str">
        <f>"WBP21312B"</f>
        <v>WBP21312B</v>
      </c>
      <c r="N2326" t="str">
        <f>"WBP21312B"</f>
        <v>WBP21312B</v>
      </c>
      <c r="O2326" t="str">
        <f>""</f>
        <v/>
      </c>
      <c r="P2326" t="s">
        <v>664</v>
      </c>
      <c r="Q2326" t="str">
        <f>""</f>
        <v/>
      </c>
      <c r="R2326" t="s">
        <v>670</v>
      </c>
      <c r="T2326" s="1" t="s">
        <v>671</v>
      </c>
      <c r="U2326">
        <v>402</v>
      </c>
      <c r="V2326" t="s">
        <v>664</v>
      </c>
      <c r="W2326" t="s">
        <v>668</v>
      </c>
      <c r="X2326" t="s">
        <v>224</v>
      </c>
    </row>
    <row r="2327" spans="1:25">
      <c r="A2327">
        <v>13532</v>
      </c>
      <c r="B2327" t="s">
        <v>25</v>
      </c>
      <c r="C2327" t="str">
        <f t="shared" si="74"/>
        <v>INTEGRA Hatchback</v>
      </c>
      <c r="D2327" t="str">
        <f t="shared" si="75"/>
        <v>1.5</v>
      </c>
      <c r="E2327" t="s">
        <v>1760</v>
      </c>
      <c r="F2327">
        <v>198501</v>
      </c>
      <c r="G2327">
        <v>199012</v>
      </c>
      <c r="H2327">
        <v>63</v>
      </c>
      <c r="I2327">
        <v>85</v>
      </c>
      <c r="J2327">
        <v>1488</v>
      </c>
      <c r="K2327">
        <v>892662</v>
      </c>
      <c r="L2327" t="s">
        <v>298</v>
      </c>
      <c r="M2327" t="str">
        <f>"350767"</f>
        <v>350767</v>
      </c>
      <c r="N2327" t="str">
        <f>"35-0767"</f>
        <v>35-0767</v>
      </c>
      <c r="O2327" t="str">
        <f>""</f>
        <v/>
      </c>
      <c r="P2327" t="s">
        <v>664</v>
      </c>
      <c r="Q2327" t="str">
        <f>""</f>
        <v/>
      </c>
      <c r="R2327" t="s">
        <v>672</v>
      </c>
      <c r="T2327" t="s">
        <v>673</v>
      </c>
      <c r="U2327">
        <v>402</v>
      </c>
      <c r="V2327" t="s">
        <v>664</v>
      </c>
      <c r="W2327" t="s">
        <v>668</v>
      </c>
      <c r="X2327" t="s">
        <v>224</v>
      </c>
    </row>
    <row r="2328" spans="1:25">
      <c r="A2328">
        <v>13532</v>
      </c>
      <c r="B2328" t="s">
        <v>25</v>
      </c>
      <c r="C2328" t="str">
        <f t="shared" si="74"/>
        <v>INTEGRA Hatchback</v>
      </c>
      <c r="D2328" t="str">
        <f t="shared" si="75"/>
        <v>1.5</v>
      </c>
      <c r="E2328" t="s">
        <v>1760</v>
      </c>
      <c r="F2328">
        <v>198501</v>
      </c>
      <c r="G2328">
        <v>199012</v>
      </c>
      <c r="H2328">
        <v>63</v>
      </c>
      <c r="I2328">
        <v>85</v>
      </c>
      <c r="J2328">
        <v>1488</v>
      </c>
      <c r="K2328">
        <v>951929</v>
      </c>
      <c r="L2328" t="s">
        <v>218</v>
      </c>
      <c r="M2328" t="str">
        <f>"PRP0110"</f>
        <v>PRP0110</v>
      </c>
      <c r="N2328" t="str">
        <f>"PRP0110"</f>
        <v>PRP0110</v>
      </c>
      <c r="O2328" t="str">
        <f>""</f>
        <v/>
      </c>
      <c r="P2328" t="s">
        <v>664</v>
      </c>
      <c r="Q2328" t="str">
        <f>""</f>
        <v/>
      </c>
      <c r="R2328" t="s">
        <v>674</v>
      </c>
      <c r="S2328" t="s">
        <v>675</v>
      </c>
      <c r="T2328" s="1" t="s">
        <v>676</v>
      </c>
      <c r="U2328">
        <v>402</v>
      </c>
      <c r="V2328" t="s">
        <v>664</v>
      </c>
      <c r="W2328" t="s">
        <v>668</v>
      </c>
      <c r="X2328" t="s">
        <v>224</v>
      </c>
    </row>
    <row r="2329" spans="1:25">
      <c r="A2329">
        <v>13532</v>
      </c>
      <c r="B2329" t="s">
        <v>25</v>
      </c>
      <c r="C2329" t="str">
        <f t="shared" si="74"/>
        <v>INTEGRA Hatchback</v>
      </c>
      <c r="D2329" t="str">
        <f t="shared" si="75"/>
        <v>1.5</v>
      </c>
      <c r="E2329" t="s">
        <v>1760</v>
      </c>
      <c r="F2329">
        <v>198501</v>
      </c>
      <c r="G2329">
        <v>199012</v>
      </c>
      <c r="H2329">
        <v>63</v>
      </c>
      <c r="I2329">
        <v>85</v>
      </c>
      <c r="J2329">
        <v>1488</v>
      </c>
      <c r="K2329">
        <v>958270</v>
      </c>
      <c r="L2329" t="s">
        <v>218</v>
      </c>
      <c r="M2329" t="str">
        <f>"PRP0566"</f>
        <v>PRP0566</v>
      </c>
      <c r="N2329" t="str">
        <f>"PRP0566"</f>
        <v>PRP0566</v>
      </c>
      <c r="O2329" t="str">
        <f>""</f>
        <v/>
      </c>
      <c r="P2329" t="s">
        <v>664</v>
      </c>
      <c r="Q2329" t="str">
        <f>""</f>
        <v/>
      </c>
      <c r="R2329" t="s">
        <v>677</v>
      </c>
      <c r="S2329" t="s">
        <v>678</v>
      </c>
      <c r="T2329" s="1" t="s">
        <v>679</v>
      </c>
      <c r="U2329">
        <v>402</v>
      </c>
      <c r="V2329" t="s">
        <v>664</v>
      </c>
      <c r="W2329" t="s">
        <v>668</v>
      </c>
      <c r="X2329" t="s">
        <v>224</v>
      </c>
    </row>
    <row r="2330" spans="1:25">
      <c r="A2330">
        <v>13532</v>
      </c>
      <c r="B2330" t="s">
        <v>25</v>
      </c>
      <c r="C2330" t="str">
        <f t="shared" si="74"/>
        <v>INTEGRA Hatchback</v>
      </c>
      <c r="D2330" t="str">
        <f t="shared" si="75"/>
        <v>1.5</v>
      </c>
      <c r="E2330" t="s">
        <v>1760</v>
      </c>
      <c r="F2330">
        <v>198501</v>
      </c>
      <c r="G2330">
        <v>199012</v>
      </c>
      <c r="H2330">
        <v>63</v>
      </c>
      <c r="I2330">
        <v>85</v>
      </c>
      <c r="J2330">
        <v>1488</v>
      </c>
      <c r="K2330">
        <v>958314</v>
      </c>
      <c r="L2330" t="s">
        <v>218</v>
      </c>
      <c r="M2330" t="str">
        <f>"PRP0621"</f>
        <v>PRP0621</v>
      </c>
      <c r="N2330" t="str">
        <f>"PRP0621"</f>
        <v>PRP0621</v>
      </c>
      <c r="O2330" t="str">
        <f>""</f>
        <v/>
      </c>
      <c r="P2330" t="s">
        <v>664</v>
      </c>
      <c r="Q2330" t="str">
        <f>""</f>
        <v/>
      </c>
      <c r="R2330" t="s">
        <v>680</v>
      </c>
      <c r="S2330" t="s">
        <v>681</v>
      </c>
      <c r="T2330" s="1" t="s">
        <v>682</v>
      </c>
      <c r="U2330">
        <v>402</v>
      </c>
      <c r="V2330" t="s">
        <v>664</v>
      </c>
      <c r="W2330" t="s">
        <v>668</v>
      </c>
      <c r="X2330" t="s">
        <v>224</v>
      </c>
    </row>
    <row r="2331" spans="1:25">
      <c r="A2331">
        <v>13532</v>
      </c>
      <c r="B2331" t="s">
        <v>25</v>
      </c>
      <c r="C2331" t="str">
        <f t="shared" si="74"/>
        <v>INTEGRA Hatchback</v>
      </c>
      <c r="D2331" t="str">
        <f t="shared" si="75"/>
        <v>1.5</v>
      </c>
      <c r="E2331" t="s">
        <v>1760</v>
      </c>
      <c r="F2331">
        <v>198501</v>
      </c>
      <c r="G2331">
        <v>199012</v>
      </c>
      <c r="H2331">
        <v>63</v>
      </c>
      <c r="I2331">
        <v>85</v>
      </c>
      <c r="J2331">
        <v>1488</v>
      </c>
      <c r="K2331">
        <v>1022686</v>
      </c>
      <c r="L2331" t="s">
        <v>683</v>
      </c>
      <c r="M2331" t="str">
        <f>"31277"</f>
        <v>31277</v>
      </c>
      <c r="N2331" t="str">
        <f>"31277"</f>
        <v>31277</v>
      </c>
      <c r="O2331" t="str">
        <f>"20099"</f>
        <v>20099</v>
      </c>
      <c r="P2331" t="s">
        <v>664</v>
      </c>
      <c r="Q2331" t="str">
        <f>""</f>
        <v/>
      </c>
      <c r="R2331" t="s">
        <v>684</v>
      </c>
      <c r="S2331" t="s">
        <v>685</v>
      </c>
      <c r="T2331" s="1" t="s">
        <v>686</v>
      </c>
      <c r="U2331">
        <v>402</v>
      </c>
      <c r="V2331" t="s">
        <v>664</v>
      </c>
      <c r="W2331" t="s">
        <v>668</v>
      </c>
      <c r="X2331" t="s">
        <v>224</v>
      </c>
    </row>
    <row r="2332" spans="1:25">
      <c r="A2332">
        <v>13532</v>
      </c>
      <c r="B2332" t="s">
        <v>25</v>
      </c>
      <c r="C2332" t="str">
        <f t="shared" si="74"/>
        <v>INTEGRA Hatchback</v>
      </c>
      <c r="D2332" t="str">
        <f t="shared" si="75"/>
        <v>1.5</v>
      </c>
      <c r="E2332" t="s">
        <v>1760</v>
      </c>
      <c r="F2332">
        <v>198501</v>
      </c>
      <c r="G2332">
        <v>199012</v>
      </c>
      <c r="H2332">
        <v>63</v>
      </c>
      <c r="I2332">
        <v>85</v>
      </c>
      <c r="J2332">
        <v>1488</v>
      </c>
      <c r="K2332">
        <v>1022809</v>
      </c>
      <c r="L2332" t="s">
        <v>683</v>
      </c>
      <c r="M2332" t="str">
        <f>"31742"</f>
        <v>31742</v>
      </c>
      <c r="N2332" t="str">
        <f>"31742"</f>
        <v>31742</v>
      </c>
      <c r="O2332" t="str">
        <f>"21446"</f>
        <v>21446</v>
      </c>
      <c r="P2332" t="s">
        <v>664</v>
      </c>
      <c r="Q2332" t="str">
        <f>""</f>
        <v/>
      </c>
      <c r="R2332" t="s">
        <v>687</v>
      </c>
      <c r="S2332" t="s">
        <v>688</v>
      </c>
      <c r="T2332" s="1" t="s">
        <v>689</v>
      </c>
      <c r="U2332">
        <v>402</v>
      </c>
      <c r="V2332" t="s">
        <v>664</v>
      </c>
      <c r="W2332" t="s">
        <v>668</v>
      </c>
      <c r="X2332" t="s">
        <v>224</v>
      </c>
    </row>
    <row r="2333" spans="1:25">
      <c r="A2333">
        <v>13532</v>
      </c>
      <c r="B2333" t="s">
        <v>25</v>
      </c>
      <c r="C2333" t="str">
        <f t="shared" si="74"/>
        <v>INTEGRA Hatchback</v>
      </c>
      <c r="D2333" t="str">
        <f t="shared" si="75"/>
        <v>1.5</v>
      </c>
      <c r="E2333" t="s">
        <v>1760</v>
      </c>
      <c r="F2333">
        <v>198501</v>
      </c>
      <c r="G2333">
        <v>199012</v>
      </c>
      <c r="H2333">
        <v>63</v>
      </c>
      <c r="I2333">
        <v>85</v>
      </c>
      <c r="J2333">
        <v>1488</v>
      </c>
      <c r="K2333">
        <v>1072406</v>
      </c>
      <c r="L2333" t="s">
        <v>690</v>
      </c>
      <c r="M2333" t="str">
        <f>"8DB355005731"</f>
        <v>8DB355005731</v>
      </c>
      <c r="N2333" t="str">
        <f>"8DB 355 005-731"</f>
        <v>8DB 355 005-731</v>
      </c>
      <c r="O2333" t="str">
        <f>""</f>
        <v/>
      </c>
      <c r="P2333" t="s">
        <v>664</v>
      </c>
      <c r="Q2333" t="str">
        <f>"4082300350043"</f>
        <v>4082300350043</v>
      </c>
      <c r="R2333" t="s">
        <v>691</v>
      </c>
      <c r="S2333" t="s">
        <v>221</v>
      </c>
      <c r="T2333" s="1" t="s">
        <v>692</v>
      </c>
      <c r="U2333">
        <v>402</v>
      </c>
      <c r="V2333" t="s">
        <v>664</v>
      </c>
      <c r="W2333" t="s">
        <v>668</v>
      </c>
      <c r="X2333" t="s">
        <v>224</v>
      </c>
    </row>
    <row r="2334" spans="1:25">
      <c r="A2334">
        <v>13532</v>
      </c>
      <c r="B2334" t="s">
        <v>25</v>
      </c>
      <c r="C2334" t="str">
        <f t="shared" si="74"/>
        <v>INTEGRA Hatchback</v>
      </c>
      <c r="D2334" t="str">
        <f t="shared" si="75"/>
        <v>1.5</v>
      </c>
      <c r="E2334" t="s">
        <v>1760</v>
      </c>
      <c r="F2334">
        <v>198501</v>
      </c>
      <c r="G2334">
        <v>199012</v>
      </c>
      <c r="H2334">
        <v>63</v>
      </c>
      <c r="I2334">
        <v>85</v>
      </c>
      <c r="J2334">
        <v>1488</v>
      </c>
      <c r="K2334">
        <v>1072459</v>
      </c>
      <c r="L2334" t="s">
        <v>690</v>
      </c>
      <c r="M2334" t="str">
        <f>"8DB355006261"</f>
        <v>8DB355006261</v>
      </c>
      <c r="N2334" t="str">
        <f>"8DB 355 006-261"</f>
        <v>8DB 355 006-261</v>
      </c>
      <c r="O2334" t="str">
        <f>""</f>
        <v/>
      </c>
      <c r="P2334" t="s">
        <v>664</v>
      </c>
      <c r="Q2334" t="str">
        <f>"4082300350579"</f>
        <v>4082300350579</v>
      </c>
      <c r="R2334" t="s">
        <v>693</v>
      </c>
      <c r="S2334" t="s">
        <v>310</v>
      </c>
      <c r="T2334" s="1" t="s">
        <v>694</v>
      </c>
      <c r="U2334">
        <v>402</v>
      </c>
      <c r="V2334" t="s">
        <v>664</v>
      </c>
      <c r="W2334" t="s">
        <v>668</v>
      </c>
      <c r="X2334" t="s">
        <v>224</v>
      </c>
    </row>
    <row r="2335" spans="1:25">
      <c r="A2335">
        <v>13532</v>
      </c>
      <c r="B2335" t="s">
        <v>25</v>
      </c>
      <c r="C2335" t="str">
        <f t="shared" si="74"/>
        <v>INTEGRA Hatchback</v>
      </c>
      <c r="D2335" t="str">
        <f t="shared" si="75"/>
        <v>1.5</v>
      </c>
      <c r="E2335" t="s">
        <v>1760</v>
      </c>
      <c r="F2335">
        <v>198501</v>
      </c>
      <c r="G2335">
        <v>199012</v>
      </c>
      <c r="H2335">
        <v>63</v>
      </c>
      <c r="I2335">
        <v>85</v>
      </c>
      <c r="J2335">
        <v>1488</v>
      </c>
      <c r="K2335">
        <v>1099099</v>
      </c>
      <c r="L2335" t="s">
        <v>318</v>
      </c>
      <c r="M2335" t="str">
        <f>"13046059182"</f>
        <v>13046059182</v>
      </c>
      <c r="N2335" t="str">
        <f>"13.0460-5918.2"</f>
        <v>13.0460-5918.2</v>
      </c>
      <c r="O2335" t="str">
        <f>"605918"</f>
        <v>605918</v>
      </c>
      <c r="P2335" t="s">
        <v>664</v>
      </c>
      <c r="Q2335" t="str">
        <f>"4006633130691"</f>
        <v>4006633130691</v>
      </c>
      <c r="R2335" t="s">
        <v>695</v>
      </c>
      <c r="S2335" t="s">
        <v>696</v>
      </c>
      <c r="T2335" s="1" t="s">
        <v>697</v>
      </c>
      <c r="U2335">
        <v>402</v>
      </c>
      <c r="V2335" t="s">
        <v>664</v>
      </c>
      <c r="W2335" t="s">
        <v>668</v>
      </c>
      <c r="X2335" t="s">
        <v>224</v>
      </c>
    </row>
    <row r="2336" spans="1:25">
      <c r="A2336">
        <v>13532</v>
      </c>
      <c r="B2336" t="s">
        <v>25</v>
      </c>
      <c r="C2336" t="str">
        <f t="shared" si="74"/>
        <v>INTEGRA Hatchback</v>
      </c>
      <c r="D2336" t="str">
        <f t="shared" si="75"/>
        <v>1.5</v>
      </c>
      <c r="E2336" t="s">
        <v>1760</v>
      </c>
      <c r="F2336">
        <v>198501</v>
      </c>
      <c r="G2336">
        <v>199012</v>
      </c>
      <c r="H2336">
        <v>63</v>
      </c>
      <c r="I2336">
        <v>85</v>
      </c>
      <c r="J2336">
        <v>1488</v>
      </c>
      <c r="K2336">
        <v>1152109</v>
      </c>
      <c r="L2336" t="s">
        <v>698</v>
      </c>
      <c r="M2336" t="str">
        <f>"T0034"</f>
        <v>T0034</v>
      </c>
      <c r="N2336" t="str">
        <f>"T0034"</f>
        <v>T0034</v>
      </c>
      <c r="O2336" t="str">
        <f>""</f>
        <v/>
      </c>
      <c r="P2336" t="s">
        <v>664</v>
      </c>
      <c r="Q2336" t="str">
        <f>"4007590005787"</f>
        <v>4007590005787</v>
      </c>
      <c r="R2336" t="s">
        <v>699</v>
      </c>
      <c r="S2336" t="s">
        <v>221</v>
      </c>
      <c r="T2336" s="1" t="s">
        <v>700</v>
      </c>
      <c r="U2336">
        <v>402</v>
      </c>
      <c r="V2336" t="s">
        <v>664</v>
      </c>
      <c r="W2336" t="s">
        <v>668</v>
      </c>
      <c r="X2336" t="s">
        <v>224</v>
      </c>
    </row>
    <row r="2337" spans="1:24">
      <c r="A2337">
        <v>13532</v>
      </c>
      <c r="B2337" t="s">
        <v>25</v>
      </c>
      <c r="C2337" t="str">
        <f t="shared" si="74"/>
        <v>INTEGRA Hatchback</v>
      </c>
      <c r="D2337" t="str">
        <f t="shared" si="75"/>
        <v>1.5</v>
      </c>
      <c r="E2337" t="s">
        <v>1760</v>
      </c>
      <c r="F2337">
        <v>198501</v>
      </c>
      <c r="G2337">
        <v>199012</v>
      </c>
      <c r="H2337">
        <v>63</v>
      </c>
      <c r="I2337">
        <v>85</v>
      </c>
      <c r="J2337">
        <v>1488</v>
      </c>
      <c r="K2337">
        <v>1152163</v>
      </c>
      <c r="L2337" t="s">
        <v>698</v>
      </c>
      <c r="M2337" t="str">
        <f>"T0365"</f>
        <v>T0365</v>
      </c>
      <c r="N2337" t="str">
        <f>"T0365"</f>
        <v>T0365</v>
      </c>
      <c r="O2337" t="str">
        <f>"20099"</f>
        <v>20099</v>
      </c>
      <c r="P2337" t="s">
        <v>664</v>
      </c>
      <c r="Q2337" t="str">
        <f>"4007590000508"</f>
        <v>4007590000508</v>
      </c>
      <c r="R2337" t="s">
        <v>701</v>
      </c>
      <c r="S2337" t="s">
        <v>310</v>
      </c>
      <c r="T2337" s="1" t="s">
        <v>702</v>
      </c>
      <c r="U2337">
        <v>402</v>
      </c>
      <c r="V2337" t="s">
        <v>664</v>
      </c>
      <c r="W2337" t="s">
        <v>668</v>
      </c>
      <c r="X2337" t="s">
        <v>224</v>
      </c>
    </row>
    <row r="2338" spans="1:24">
      <c r="A2338">
        <v>13532</v>
      </c>
      <c r="B2338" t="s">
        <v>25</v>
      </c>
      <c r="C2338" t="str">
        <f t="shared" si="74"/>
        <v>INTEGRA Hatchback</v>
      </c>
      <c r="D2338" t="str">
        <f t="shared" si="75"/>
        <v>1.5</v>
      </c>
      <c r="E2338" t="s">
        <v>1760</v>
      </c>
      <c r="F2338">
        <v>198501</v>
      </c>
      <c r="G2338">
        <v>199012</v>
      </c>
      <c r="H2338">
        <v>63</v>
      </c>
      <c r="I2338">
        <v>85</v>
      </c>
      <c r="J2338">
        <v>1488</v>
      </c>
      <c r="K2338">
        <v>1280894</v>
      </c>
      <c r="L2338" t="s">
        <v>66</v>
      </c>
      <c r="M2338" t="str">
        <f>"598286"</f>
        <v>598286</v>
      </c>
      <c r="N2338" t="str">
        <f>"598286"</f>
        <v>598286</v>
      </c>
      <c r="O2338" t="str">
        <f>"21312"</f>
        <v>21312</v>
      </c>
      <c r="P2338" t="s">
        <v>664</v>
      </c>
      <c r="Q2338" t="str">
        <f>"3276425982864"</f>
        <v>3276425982864</v>
      </c>
      <c r="R2338" s="1" t="s">
        <v>703</v>
      </c>
      <c r="T2338" t="s">
        <v>704</v>
      </c>
      <c r="U2338">
        <v>402</v>
      </c>
      <c r="V2338" t="s">
        <v>664</v>
      </c>
      <c r="W2338" t="s">
        <v>668</v>
      </c>
      <c r="X2338" t="s">
        <v>224</v>
      </c>
    </row>
    <row r="2339" spans="1:24">
      <c r="A2339">
        <v>13532</v>
      </c>
      <c r="B2339" t="s">
        <v>25</v>
      </c>
      <c r="C2339" t="str">
        <f t="shared" si="74"/>
        <v>INTEGRA Hatchback</v>
      </c>
      <c r="D2339" t="str">
        <f t="shared" si="75"/>
        <v>1.5</v>
      </c>
      <c r="E2339" t="s">
        <v>1760</v>
      </c>
      <c r="F2339">
        <v>198501</v>
      </c>
      <c r="G2339">
        <v>199012</v>
      </c>
      <c r="H2339">
        <v>63</v>
      </c>
      <c r="I2339">
        <v>85</v>
      </c>
      <c r="J2339">
        <v>1488</v>
      </c>
      <c r="K2339">
        <v>1281462</v>
      </c>
      <c r="L2339" t="s">
        <v>66</v>
      </c>
      <c r="M2339" t="str">
        <f>"598902"</f>
        <v>598902</v>
      </c>
      <c r="N2339" t="str">
        <f>"598902"</f>
        <v>598902</v>
      </c>
      <c r="O2339" t="str">
        <f>""</f>
        <v/>
      </c>
      <c r="P2339" t="s">
        <v>664</v>
      </c>
      <c r="Q2339" t="str">
        <f>"3276425989023"</f>
        <v>3276425989023</v>
      </c>
      <c r="R2339" t="s">
        <v>705</v>
      </c>
      <c r="T2339" s="1" t="s">
        <v>706</v>
      </c>
      <c r="U2339">
        <v>402</v>
      </c>
      <c r="V2339" t="s">
        <v>664</v>
      </c>
      <c r="W2339" t="s">
        <v>668</v>
      </c>
      <c r="X2339" t="s">
        <v>224</v>
      </c>
    </row>
    <row r="2340" spans="1:24">
      <c r="A2340">
        <v>13532</v>
      </c>
      <c r="B2340" t="s">
        <v>25</v>
      </c>
      <c r="C2340" t="str">
        <f t="shared" si="74"/>
        <v>INTEGRA Hatchback</v>
      </c>
      <c r="D2340" t="str">
        <f t="shared" si="75"/>
        <v>1.5</v>
      </c>
      <c r="E2340" t="s">
        <v>1760</v>
      </c>
      <c r="F2340">
        <v>198501</v>
      </c>
      <c r="G2340">
        <v>199012</v>
      </c>
      <c r="H2340">
        <v>63</v>
      </c>
      <c r="I2340">
        <v>85</v>
      </c>
      <c r="J2340">
        <v>1488</v>
      </c>
      <c r="K2340">
        <v>1626971</v>
      </c>
      <c r="L2340" t="s">
        <v>707</v>
      </c>
      <c r="M2340" t="str">
        <f>"2009902"</f>
        <v>2009902</v>
      </c>
      <c r="N2340" t="str">
        <f>"2009902"</f>
        <v>2009902</v>
      </c>
      <c r="O2340" t="str">
        <f>"20099"</f>
        <v>20099</v>
      </c>
      <c r="P2340" t="s">
        <v>664</v>
      </c>
      <c r="Q2340" t="str">
        <f>"4019722180644"</f>
        <v>4019722180644</v>
      </c>
      <c r="R2340" t="s">
        <v>708</v>
      </c>
      <c r="S2340" t="s">
        <v>310</v>
      </c>
      <c r="T2340" s="1" t="s">
        <v>709</v>
      </c>
      <c r="U2340">
        <v>402</v>
      </c>
      <c r="V2340" t="s">
        <v>664</v>
      </c>
      <c r="W2340" t="s">
        <v>668</v>
      </c>
      <c r="X2340" t="s">
        <v>224</v>
      </c>
    </row>
    <row r="2341" spans="1:24">
      <c r="A2341">
        <v>13532</v>
      </c>
      <c r="B2341" t="s">
        <v>25</v>
      </c>
      <c r="C2341" t="str">
        <f t="shared" si="74"/>
        <v>INTEGRA Hatchback</v>
      </c>
      <c r="D2341" t="str">
        <f t="shared" si="75"/>
        <v>1.5</v>
      </c>
      <c r="E2341" t="s">
        <v>1760</v>
      </c>
      <c r="F2341">
        <v>198501</v>
      </c>
      <c r="G2341">
        <v>199012</v>
      </c>
      <c r="H2341">
        <v>63</v>
      </c>
      <c r="I2341">
        <v>85</v>
      </c>
      <c r="J2341">
        <v>1488</v>
      </c>
      <c r="K2341">
        <v>1627312</v>
      </c>
      <c r="L2341" t="s">
        <v>707</v>
      </c>
      <c r="M2341" t="str">
        <f>"2131201"</f>
        <v>2131201</v>
      </c>
      <c r="N2341" t="str">
        <f>"2131201"</f>
        <v>2131201</v>
      </c>
      <c r="O2341" t="str">
        <f>"21312"</f>
        <v>21312</v>
      </c>
      <c r="P2341" t="s">
        <v>664</v>
      </c>
      <c r="Q2341" t="str">
        <f>"4019722156403"</f>
        <v>4019722156403</v>
      </c>
      <c r="R2341" t="s">
        <v>710</v>
      </c>
      <c r="S2341" t="s">
        <v>221</v>
      </c>
      <c r="T2341" s="1" t="s">
        <v>711</v>
      </c>
      <c r="U2341">
        <v>402</v>
      </c>
      <c r="V2341" t="s">
        <v>664</v>
      </c>
      <c r="W2341" t="s">
        <v>668</v>
      </c>
      <c r="X2341" t="s">
        <v>224</v>
      </c>
    </row>
    <row r="2342" spans="1:24">
      <c r="A2342">
        <v>13532</v>
      </c>
      <c r="B2342" t="s">
        <v>25</v>
      </c>
      <c r="C2342" t="str">
        <f t="shared" si="74"/>
        <v>INTEGRA Hatchback</v>
      </c>
      <c r="D2342" t="str">
        <f t="shared" si="75"/>
        <v>1.5</v>
      </c>
      <c r="E2342" t="s">
        <v>1760</v>
      </c>
      <c r="F2342">
        <v>198501</v>
      </c>
      <c r="G2342">
        <v>199012</v>
      </c>
      <c r="H2342">
        <v>63</v>
      </c>
      <c r="I2342">
        <v>85</v>
      </c>
      <c r="J2342">
        <v>1488</v>
      </c>
      <c r="K2342">
        <v>1680412</v>
      </c>
      <c r="L2342" t="s">
        <v>225</v>
      </c>
      <c r="M2342" t="str">
        <f>"572135J"</f>
        <v>572135J</v>
      </c>
      <c r="N2342" t="str">
        <f>"572135J"</f>
        <v>572135J</v>
      </c>
      <c r="O2342" t="str">
        <f>"21312"</f>
        <v>21312</v>
      </c>
      <c r="P2342" t="s">
        <v>664</v>
      </c>
      <c r="Q2342" t="str">
        <f>"3306435017673"</f>
        <v>3306435017673</v>
      </c>
      <c r="R2342" t="s">
        <v>712</v>
      </c>
      <c r="T2342" s="1" t="s">
        <v>713</v>
      </c>
      <c r="U2342">
        <v>402</v>
      </c>
      <c r="V2342" t="s">
        <v>664</v>
      </c>
      <c r="W2342" t="s">
        <v>668</v>
      </c>
      <c r="X2342" t="s">
        <v>224</v>
      </c>
    </row>
    <row r="2343" spans="1:24">
      <c r="A2343">
        <v>13532</v>
      </c>
      <c r="B2343" t="s">
        <v>25</v>
      </c>
      <c r="C2343" t="str">
        <f t="shared" si="74"/>
        <v>INTEGRA Hatchback</v>
      </c>
      <c r="D2343" t="str">
        <f t="shared" si="75"/>
        <v>1.5</v>
      </c>
      <c r="E2343" t="s">
        <v>1760</v>
      </c>
      <c r="F2343">
        <v>198501</v>
      </c>
      <c r="G2343">
        <v>199012</v>
      </c>
      <c r="H2343">
        <v>63</v>
      </c>
      <c r="I2343">
        <v>85</v>
      </c>
      <c r="J2343">
        <v>1488</v>
      </c>
      <c r="K2343">
        <v>1680521</v>
      </c>
      <c r="L2343" t="s">
        <v>225</v>
      </c>
      <c r="M2343" t="str">
        <f>"572288J"</f>
        <v>572288J</v>
      </c>
      <c r="N2343" t="str">
        <f>"572288J"</f>
        <v>572288J</v>
      </c>
      <c r="O2343" t="str">
        <f>"20099"</f>
        <v>20099</v>
      </c>
      <c r="P2343" t="s">
        <v>664</v>
      </c>
      <c r="Q2343" t="str">
        <f>"3306435020499"</f>
        <v>3306435020499</v>
      </c>
      <c r="R2343" t="s">
        <v>714</v>
      </c>
      <c r="T2343" s="1" t="s">
        <v>715</v>
      </c>
      <c r="U2343">
        <v>402</v>
      </c>
      <c r="V2343" t="s">
        <v>664</v>
      </c>
      <c r="W2343" t="s">
        <v>668</v>
      </c>
      <c r="X2343" t="s">
        <v>224</v>
      </c>
    </row>
    <row r="2344" spans="1:24">
      <c r="A2344">
        <v>13532</v>
      </c>
      <c r="B2344" t="s">
        <v>25</v>
      </c>
      <c r="C2344" t="str">
        <f t="shared" si="74"/>
        <v>INTEGRA Hatchback</v>
      </c>
      <c r="D2344" t="str">
        <f t="shared" si="75"/>
        <v>1.5</v>
      </c>
      <c r="E2344" t="s">
        <v>1760</v>
      </c>
      <c r="F2344">
        <v>198501</v>
      </c>
      <c r="G2344">
        <v>199012</v>
      </c>
      <c r="H2344">
        <v>63</v>
      </c>
      <c r="I2344">
        <v>85</v>
      </c>
      <c r="J2344">
        <v>1488</v>
      </c>
      <c r="K2344">
        <v>1694657</v>
      </c>
      <c r="L2344" t="s">
        <v>332</v>
      </c>
      <c r="M2344" t="str">
        <f>"571977B"</f>
        <v>571977B</v>
      </c>
      <c r="N2344" t="str">
        <f>"571977B"</f>
        <v>571977B</v>
      </c>
      <c r="O2344" t="str">
        <f>"21312"</f>
        <v>21312</v>
      </c>
      <c r="P2344" t="s">
        <v>664</v>
      </c>
      <c r="Q2344" t="str">
        <f>"3306435051714"</f>
        <v>3306435051714</v>
      </c>
      <c r="R2344" t="s">
        <v>716</v>
      </c>
      <c r="S2344" t="s">
        <v>717</v>
      </c>
      <c r="T2344" s="1" t="s">
        <v>718</v>
      </c>
      <c r="U2344">
        <v>402</v>
      </c>
      <c r="V2344" t="s">
        <v>664</v>
      </c>
      <c r="W2344" t="s">
        <v>668</v>
      </c>
      <c r="X2344" t="s">
        <v>224</v>
      </c>
    </row>
    <row r="2345" spans="1:24">
      <c r="A2345">
        <v>13532</v>
      </c>
      <c r="B2345" t="s">
        <v>25</v>
      </c>
      <c r="C2345" t="str">
        <f t="shared" si="74"/>
        <v>INTEGRA Hatchback</v>
      </c>
      <c r="D2345" t="str">
        <f t="shared" si="75"/>
        <v>1.5</v>
      </c>
      <c r="E2345" t="s">
        <v>1760</v>
      </c>
      <c r="F2345">
        <v>198501</v>
      </c>
      <c r="G2345">
        <v>199012</v>
      </c>
      <c r="H2345">
        <v>63</v>
      </c>
      <c r="I2345">
        <v>85</v>
      </c>
      <c r="J2345">
        <v>1488</v>
      </c>
      <c r="K2345">
        <v>1694658</v>
      </c>
      <c r="L2345" t="s">
        <v>332</v>
      </c>
      <c r="M2345" t="str">
        <f>"571977X"</f>
        <v>571977X</v>
      </c>
      <c r="N2345" t="str">
        <f>"571977X"</f>
        <v>571977X</v>
      </c>
      <c r="O2345" t="str">
        <f>"21312"</f>
        <v>21312</v>
      </c>
      <c r="P2345" t="s">
        <v>664</v>
      </c>
      <c r="Q2345" t="str">
        <f>""</f>
        <v/>
      </c>
      <c r="R2345" t="s">
        <v>719</v>
      </c>
      <c r="S2345" t="s">
        <v>717</v>
      </c>
      <c r="T2345" s="1" t="s">
        <v>718</v>
      </c>
      <c r="U2345">
        <v>402</v>
      </c>
      <c r="V2345" t="s">
        <v>664</v>
      </c>
      <c r="W2345" t="s">
        <v>668</v>
      </c>
      <c r="X2345" t="s">
        <v>224</v>
      </c>
    </row>
    <row r="2346" spans="1:24">
      <c r="A2346">
        <v>13532</v>
      </c>
      <c r="B2346" t="s">
        <v>25</v>
      </c>
      <c r="C2346" t="str">
        <f t="shared" si="74"/>
        <v>INTEGRA Hatchback</v>
      </c>
      <c r="D2346" t="str">
        <f t="shared" si="75"/>
        <v>1.5</v>
      </c>
      <c r="E2346" t="s">
        <v>1760</v>
      </c>
      <c r="F2346">
        <v>198501</v>
      </c>
      <c r="G2346">
        <v>199012</v>
      </c>
      <c r="H2346">
        <v>63</v>
      </c>
      <c r="I2346">
        <v>85</v>
      </c>
      <c r="J2346">
        <v>1488</v>
      </c>
      <c r="K2346">
        <v>1694829</v>
      </c>
      <c r="L2346" t="s">
        <v>332</v>
      </c>
      <c r="M2346" t="str">
        <f>"572309B"</f>
        <v>572309B</v>
      </c>
      <c r="N2346" t="str">
        <f>"572309B"</f>
        <v>572309B</v>
      </c>
      <c r="O2346" t="str">
        <f>"21446"</f>
        <v>21446</v>
      </c>
      <c r="P2346" t="s">
        <v>664</v>
      </c>
      <c r="Q2346" t="str">
        <f>"3306430346006"</f>
        <v>3306430346006</v>
      </c>
      <c r="R2346" t="s">
        <v>720</v>
      </c>
      <c r="S2346" t="s">
        <v>678</v>
      </c>
      <c r="T2346" s="1" t="s">
        <v>721</v>
      </c>
      <c r="U2346">
        <v>402</v>
      </c>
      <c r="V2346" t="s">
        <v>664</v>
      </c>
      <c r="W2346" t="s">
        <v>668</v>
      </c>
      <c r="X2346" t="s">
        <v>224</v>
      </c>
    </row>
    <row r="2347" spans="1:24">
      <c r="A2347">
        <v>13532</v>
      </c>
      <c r="B2347" t="s">
        <v>25</v>
      </c>
      <c r="C2347" t="str">
        <f t="shared" si="74"/>
        <v>INTEGRA Hatchback</v>
      </c>
      <c r="D2347" t="str">
        <f t="shared" si="75"/>
        <v>1.5</v>
      </c>
      <c r="E2347" t="s">
        <v>1760</v>
      </c>
      <c r="F2347">
        <v>198501</v>
      </c>
      <c r="G2347">
        <v>199012</v>
      </c>
      <c r="H2347">
        <v>63</v>
      </c>
      <c r="I2347">
        <v>85</v>
      </c>
      <c r="J2347">
        <v>1488</v>
      </c>
      <c r="K2347">
        <v>1694848</v>
      </c>
      <c r="L2347" t="s">
        <v>332</v>
      </c>
      <c r="M2347" t="str">
        <f>"572330B"</f>
        <v>572330B</v>
      </c>
      <c r="N2347" t="str">
        <f>"572330B"</f>
        <v>572330B</v>
      </c>
      <c r="O2347" t="str">
        <f>"21323"</f>
        <v>21323</v>
      </c>
      <c r="P2347" t="s">
        <v>664</v>
      </c>
      <c r="Q2347" t="str">
        <f>"3306430346303"</f>
        <v>3306430346303</v>
      </c>
      <c r="R2347" t="s">
        <v>722</v>
      </c>
      <c r="S2347" t="s">
        <v>316</v>
      </c>
      <c r="T2347" s="1" t="s">
        <v>723</v>
      </c>
      <c r="U2347">
        <v>402</v>
      </c>
      <c r="V2347" t="s">
        <v>664</v>
      </c>
      <c r="W2347" t="s">
        <v>668</v>
      </c>
      <c r="X2347" t="s">
        <v>224</v>
      </c>
    </row>
    <row r="2348" spans="1:24">
      <c r="A2348">
        <v>13532</v>
      </c>
      <c r="B2348" t="s">
        <v>25</v>
      </c>
      <c r="C2348" t="str">
        <f t="shared" si="74"/>
        <v>INTEGRA Hatchback</v>
      </c>
      <c r="D2348" t="str">
        <f t="shared" si="75"/>
        <v>1.5</v>
      </c>
      <c r="E2348" t="s">
        <v>1760</v>
      </c>
      <c r="F2348">
        <v>198501</v>
      </c>
      <c r="G2348">
        <v>199012</v>
      </c>
      <c r="H2348">
        <v>63</v>
      </c>
      <c r="I2348">
        <v>85</v>
      </c>
      <c r="J2348">
        <v>1488</v>
      </c>
      <c r="K2348">
        <v>1711748</v>
      </c>
      <c r="L2348" t="s">
        <v>724</v>
      </c>
      <c r="M2348" t="str">
        <f>"BL1021A2"</f>
        <v>BL1021A2</v>
      </c>
      <c r="N2348" t="str">
        <f>"BL1021A2"</f>
        <v>BL1021A2</v>
      </c>
      <c r="O2348" t="str">
        <f>"20099"</f>
        <v>20099</v>
      </c>
      <c r="P2348" t="s">
        <v>664</v>
      </c>
      <c r="Q2348" t="str">
        <f>"4028569283401"</f>
        <v>4028569283401</v>
      </c>
      <c r="R2348" t="s">
        <v>725</v>
      </c>
      <c r="S2348" t="s">
        <v>726</v>
      </c>
      <c r="T2348" s="1" t="s">
        <v>727</v>
      </c>
      <c r="U2348">
        <v>402</v>
      </c>
      <c r="V2348" t="s">
        <v>664</v>
      </c>
      <c r="W2348" t="s">
        <v>668</v>
      </c>
      <c r="X2348" t="s">
        <v>224</v>
      </c>
    </row>
    <row r="2349" spans="1:24">
      <c r="A2349">
        <v>13532</v>
      </c>
      <c r="B2349" t="s">
        <v>25</v>
      </c>
      <c r="C2349" t="str">
        <f t="shared" si="74"/>
        <v>INTEGRA Hatchback</v>
      </c>
      <c r="D2349" t="str">
        <f t="shared" si="75"/>
        <v>1.5</v>
      </c>
      <c r="E2349" t="s">
        <v>1760</v>
      </c>
      <c r="F2349">
        <v>198501</v>
      </c>
      <c r="G2349">
        <v>199012</v>
      </c>
      <c r="H2349">
        <v>63</v>
      </c>
      <c r="I2349">
        <v>85</v>
      </c>
      <c r="J2349">
        <v>1488</v>
      </c>
      <c r="K2349">
        <v>1712049</v>
      </c>
      <c r="L2349" t="s">
        <v>724</v>
      </c>
      <c r="M2349" t="str">
        <f>"BL1321A2"</f>
        <v>BL1321A2</v>
      </c>
      <c r="N2349" t="str">
        <f>"BL1321A2"</f>
        <v>BL1321A2</v>
      </c>
      <c r="O2349" t="str">
        <f>"21446"</f>
        <v>21446</v>
      </c>
      <c r="P2349" t="s">
        <v>664</v>
      </c>
      <c r="Q2349" t="str">
        <f>"4028569286518"</f>
        <v>4028569286518</v>
      </c>
      <c r="R2349" t="s">
        <v>728</v>
      </c>
      <c r="S2349" t="s">
        <v>729</v>
      </c>
      <c r="T2349" s="1" t="s">
        <v>730</v>
      </c>
      <c r="U2349">
        <v>402</v>
      </c>
      <c r="V2349" t="s">
        <v>664</v>
      </c>
      <c r="W2349" t="s">
        <v>668</v>
      </c>
      <c r="X2349" t="s">
        <v>224</v>
      </c>
    </row>
    <row r="2350" spans="1:24">
      <c r="A2350">
        <v>13532</v>
      </c>
      <c r="B2350" t="s">
        <v>25</v>
      </c>
      <c r="C2350" t="str">
        <f t="shared" si="74"/>
        <v>INTEGRA Hatchback</v>
      </c>
      <c r="D2350" t="str">
        <f t="shared" si="75"/>
        <v>1.5</v>
      </c>
      <c r="E2350" t="s">
        <v>1760</v>
      </c>
      <c r="F2350">
        <v>198501</v>
      </c>
      <c r="G2350">
        <v>199012</v>
      </c>
      <c r="H2350">
        <v>63</v>
      </c>
      <c r="I2350">
        <v>85</v>
      </c>
      <c r="J2350">
        <v>1488</v>
      </c>
      <c r="K2350">
        <v>1713197</v>
      </c>
      <c r="L2350" t="s">
        <v>724</v>
      </c>
      <c r="M2350" t="str">
        <f>"BL2349A1"</f>
        <v>BL2349A1</v>
      </c>
      <c r="N2350" t="str">
        <f>"BL2349A1"</f>
        <v>BL2349A1</v>
      </c>
      <c r="O2350" t="str">
        <f>"21312"</f>
        <v>21312</v>
      </c>
      <c r="P2350" t="s">
        <v>664</v>
      </c>
      <c r="Q2350" t="str">
        <f>"4028569681870"</f>
        <v>4028569681870</v>
      </c>
      <c r="R2350" s="1" t="s">
        <v>731</v>
      </c>
      <c r="S2350" t="s">
        <v>732</v>
      </c>
      <c r="T2350" s="1" t="s">
        <v>733</v>
      </c>
      <c r="U2350">
        <v>402</v>
      </c>
      <c r="V2350" t="s">
        <v>664</v>
      </c>
      <c r="W2350" t="s">
        <v>668</v>
      </c>
      <c r="X2350" t="s">
        <v>224</v>
      </c>
    </row>
    <row r="2351" spans="1:24">
      <c r="A2351">
        <v>13532</v>
      </c>
      <c r="B2351" t="s">
        <v>25</v>
      </c>
      <c r="C2351" t="str">
        <f t="shared" si="74"/>
        <v>INTEGRA Hatchback</v>
      </c>
      <c r="D2351" t="str">
        <f t="shared" si="75"/>
        <v>1.5</v>
      </c>
      <c r="E2351" t="s">
        <v>1760</v>
      </c>
      <c r="F2351">
        <v>198501</v>
      </c>
      <c r="G2351">
        <v>199012</v>
      </c>
      <c r="H2351">
        <v>63</v>
      </c>
      <c r="I2351">
        <v>85</v>
      </c>
      <c r="J2351">
        <v>1488</v>
      </c>
      <c r="K2351">
        <v>1713198</v>
      </c>
      <c r="L2351" t="s">
        <v>724</v>
      </c>
      <c r="M2351" t="str">
        <f>"BL2349B1"</f>
        <v>BL2349B1</v>
      </c>
      <c r="N2351" t="str">
        <f>"BL2349B1"</f>
        <v>BL2349B1</v>
      </c>
      <c r="O2351" t="str">
        <f>"21312"</f>
        <v>21312</v>
      </c>
      <c r="P2351" t="s">
        <v>664</v>
      </c>
      <c r="Q2351" t="str">
        <f>"4028569681887"</f>
        <v>4028569681887</v>
      </c>
      <c r="R2351" s="1" t="s">
        <v>734</v>
      </c>
      <c r="S2351" t="s">
        <v>732</v>
      </c>
      <c r="T2351" s="1" t="s">
        <v>735</v>
      </c>
      <c r="U2351">
        <v>402</v>
      </c>
      <c r="V2351" t="s">
        <v>664</v>
      </c>
      <c r="W2351" t="s">
        <v>668</v>
      </c>
      <c r="X2351" t="s">
        <v>224</v>
      </c>
    </row>
    <row r="2352" spans="1:24">
      <c r="A2352">
        <v>13532</v>
      </c>
      <c r="B2352" t="s">
        <v>25</v>
      </c>
      <c r="C2352" t="str">
        <f t="shared" si="74"/>
        <v>INTEGRA Hatchback</v>
      </c>
      <c r="D2352" t="str">
        <f t="shared" si="75"/>
        <v>1.5</v>
      </c>
      <c r="E2352" t="s">
        <v>1760</v>
      </c>
      <c r="F2352">
        <v>198501</v>
      </c>
      <c r="G2352">
        <v>199012</v>
      </c>
      <c r="H2352">
        <v>63</v>
      </c>
      <c r="I2352">
        <v>85</v>
      </c>
      <c r="J2352">
        <v>1488</v>
      </c>
      <c r="K2352">
        <v>1817198</v>
      </c>
      <c r="L2352" t="s">
        <v>228</v>
      </c>
      <c r="M2352" t="str">
        <f>"FDB454"</f>
        <v>FDB454</v>
      </c>
      <c r="N2352" t="str">
        <f>"FDB454"</f>
        <v>FDB454</v>
      </c>
      <c r="O2352" t="str">
        <f>"20099"</f>
        <v>20099</v>
      </c>
      <c r="P2352" t="s">
        <v>664</v>
      </c>
      <c r="Q2352" t="str">
        <f>"5016687025378"</f>
        <v>5016687025378</v>
      </c>
      <c r="R2352" s="1" t="s">
        <v>736</v>
      </c>
      <c r="T2352" s="1" t="s">
        <v>737</v>
      </c>
      <c r="U2352">
        <v>402</v>
      </c>
      <c r="V2352" t="s">
        <v>664</v>
      </c>
      <c r="W2352" t="s">
        <v>668</v>
      </c>
      <c r="X2352" t="s">
        <v>224</v>
      </c>
    </row>
    <row r="2353" spans="1:24">
      <c r="A2353">
        <v>13532</v>
      </c>
      <c r="B2353" t="s">
        <v>25</v>
      </c>
      <c r="C2353" t="str">
        <f t="shared" si="74"/>
        <v>INTEGRA Hatchback</v>
      </c>
      <c r="D2353" t="str">
        <f t="shared" si="75"/>
        <v>1.5</v>
      </c>
      <c r="E2353" t="s">
        <v>1760</v>
      </c>
      <c r="F2353">
        <v>198501</v>
      </c>
      <c r="G2353">
        <v>199012</v>
      </c>
      <c r="H2353">
        <v>63</v>
      </c>
      <c r="I2353">
        <v>85</v>
      </c>
      <c r="J2353">
        <v>1488</v>
      </c>
      <c r="K2353">
        <v>1817220</v>
      </c>
      <c r="L2353" t="s">
        <v>228</v>
      </c>
      <c r="M2353" t="str">
        <f>"FDB472"</f>
        <v>FDB472</v>
      </c>
      <c r="N2353" t="str">
        <f>"FDB472"</f>
        <v>FDB472</v>
      </c>
      <c r="O2353" t="str">
        <f>"21312"</f>
        <v>21312</v>
      </c>
      <c r="P2353" t="s">
        <v>664</v>
      </c>
      <c r="Q2353" t="str">
        <f>"5016687026276"</f>
        <v>5016687026276</v>
      </c>
      <c r="R2353" s="1" t="s">
        <v>738</v>
      </c>
      <c r="T2353" s="1" t="s">
        <v>739</v>
      </c>
      <c r="U2353">
        <v>402</v>
      </c>
      <c r="V2353" t="s">
        <v>664</v>
      </c>
      <c r="W2353" t="s">
        <v>668</v>
      </c>
      <c r="X2353" t="s">
        <v>224</v>
      </c>
    </row>
    <row r="2354" spans="1:24">
      <c r="A2354">
        <v>13532</v>
      </c>
      <c r="B2354" t="s">
        <v>25</v>
      </c>
      <c r="C2354" t="str">
        <f t="shared" si="74"/>
        <v>INTEGRA Hatchback</v>
      </c>
      <c r="D2354" t="str">
        <f t="shared" si="75"/>
        <v>1.5</v>
      </c>
      <c r="E2354" t="s">
        <v>1760</v>
      </c>
      <c r="F2354">
        <v>198501</v>
      </c>
      <c r="G2354">
        <v>199012</v>
      </c>
      <c r="H2354">
        <v>63</v>
      </c>
      <c r="I2354">
        <v>85</v>
      </c>
      <c r="J2354">
        <v>1488</v>
      </c>
      <c r="K2354">
        <v>1821785</v>
      </c>
      <c r="L2354" t="s">
        <v>228</v>
      </c>
      <c r="M2354" t="str">
        <f>"FSL472"</f>
        <v>FSL472</v>
      </c>
      <c r="N2354" t="str">
        <f>"FSL472"</f>
        <v>FSL472</v>
      </c>
      <c r="O2354" t="str">
        <f>"21312"</f>
        <v>21312</v>
      </c>
      <c r="P2354" t="s">
        <v>664</v>
      </c>
      <c r="Q2354" t="str">
        <f>"4044197300501"</f>
        <v>4044197300501</v>
      </c>
      <c r="R2354" t="s">
        <v>740</v>
      </c>
      <c r="T2354" s="1" t="s">
        <v>741</v>
      </c>
      <c r="U2354">
        <v>402</v>
      </c>
      <c r="V2354" t="s">
        <v>664</v>
      </c>
      <c r="W2354" t="s">
        <v>668</v>
      </c>
      <c r="X2354" t="s">
        <v>224</v>
      </c>
    </row>
    <row r="2355" spans="1:24">
      <c r="A2355">
        <v>13532</v>
      </c>
      <c r="B2355" t="s">
        <v>25</v>
      </c>
      <c r="C2355" t="str">
        <f t="shared" si="74"/>
        <v>INTEGRA Hatchback</v>
      </c>
      <c r="D2355" t="str">
        <f t="shared" si="75"/>
        <v>1.5</v>
      </c>
      <c r="E2355" t="s">
        <v>1760</v>
      </c>
      <c r="F2355">
        <v>198501</v>
      </c>
      <c r="G2355">
        <v>199012</v>
      </c>
      <c r="H2355">
        <v>63</v>
      </c>
      <c r="I2355">
        <v>85</v>
      </c>
      <c r="J2355">
        <v>1488</v>
      </c>
      <c r="K2355">
        <v>1894566</v>
      </c>
      <c r="L2355" t="s">
        <v>231</v>
      </c>
      <c r="M2355" t="str">
        <f>"P28010"</f>
        <v>P28010</v>
      </c>
      <c r="N2355" t="str">
        <f>"P 28 010"</f>
        <v>P 28 010</v>
      </c>
      <c r="O2355" t="str">
        <f>"20099"</f>
        <v>20099</v>
      </c>
      <c r="P2355" t="s">
        <v>664</v>
      </c>
      <c r="Q2355" t="str">
        <f>"8020584052440"</f>
        <v>8020584052440</v>
      </c>
      <c r="R2355" t="s">
        <v>742</v>
      </c>
      <c r="S2355" t="s">
        <v>310</v>
      </c>
      <c r="T2355" s="1" t="s">
        <v>743</v>
      </c>
      <c r="U2355">
        <v>402</v>
      </c>
      <c r="V2355" t="s">
        <v>664</v>
      </c>
      <c r="W2355" t="s">
        <v>668</v>
      </c>
      <c r="X2355" t="s">
        <v>224</v>
      </c>
    </row>
    <row r="2356" spans="1:24">
      <c r="A2356">
        <v>13532</v>
      </c>
      <c r="B2356" t="s">
        <v>25</v>
      </c>
      <c r="C2356" t="str">
        <f t="shared" si="74"/>
        <v>INTEGRA Hatchback</v>
      </c>
      <c r="D2356" t="str">
        <f t="shared" si="75"/>
        <v>1.5</v>
      </c>
      <c r="E2356" t="s">
        <v>1760</v>
      </c>
      <c r="F2356">
        <v>198501</v>
      </c>
      <c r="G2356">
        <v>199012</v>
      </c>
      <c r="H2356">
        <v>63</v>
      </c>
      <c r="I2356">
        <v>85</v>
      </c>
      <c r="J2356">
        <v>1488</v>
      </c>
      <c r="K2356">
        <v>1894571</v>
      </c>
      <c r="L2356" t="s">
        <v>231</v>
      </c>
      <c r="M2356" t="str">
        <f>"P28017"</f>
        <v>P28017</v>
      </c>
      <c r="N2356" t="str">
        <f>"P 28 017"</f>
        <v>P 28 017</v>
      </c>
      <c r="O2356" t="str">
        <f>"21312"</f>
        <v>21312</v>
      </c>
      <c r="P2356" t="s">
        <v>664</v>
      </c>
      <c r="Q2356" t="str">
        <f>"8020584052518"</f>
        <v>8020584052518</v>
      </c>
      <c r="R2356" t="s">
        <v>744</v>
      </c>
      <c r="S2356" t="s">
        <v>221</v>
      </c>
      <c r="T2356" s="1" t="s">
        <v>745</v>
      </c>
      <c r="U2356">
        <v>402</v>
      </c>
      <c r="V2356" t="s">
        <v>664</v>
      </c>
      <c r="W2356" t="s">
        <v>668</v>
      </c>
      <c r="X2356" t="s">
        <v>224</v>
      </c>
    </row>
    <row r="2357" spans="1:24">
      <c r="A2357">
        <v>13532</v>
      </c>
      <c r="B2357" t="s">
        <v>25</v>
      </c>
      <c r="C2357" t="str">
        <f t="shared" si="74"/>
        <v>INTEGRA Hatchback</v>
      </c>
      <c r="D2357" t="str">
        <f t="shared" si="75"/>
        <v>1.5</v>
      </c>
      <c r="E2357" t="s">
        <v>1760</v>
      </c>
      <c r="F2357">
        <v>198501</v>
      </c>
      <c r="G2357">
        <v>199012</v>
      </c>
      <c r="H2357">
        <v>63</v>
      </c>
      <c r="I2357">
        <v>85</v>
      </c>
      <c r="J2357">
        <v>1488</v>
      </c>
      <c r="K2357">
        <v>1919786</v>
      </c>
      <c r="L2357" t="s">
        <v>746</v>
      </c>
      <c r="M2357" t="str">
        <f>"MDB1344"</f>
        <v>MDB1344</v>
      </c>
      <c r="N2357" t="str">
        <f>"MDB1344"</f>
        <v>MDB1344</v>
      </c>
      <c r="O2357" t="str">
        <f>"20099"</f>
        <v>20099</v>
      </c>
      <c r="P2357" t="s">
        <v>664</v>
      </c>
      <c r="Q2357" t="str">
        <f>"5028740002486"</f>
        <v>5028740002486</v>
      </c>
      <c r="R2357" t="s">
        <v>747</v>
      </c>
      <c r="S2357" t="s">
        <v>310</v>
      </c>
      <c r="T2357" s="1" t="s">
        <v>748</v>
      </c>
      <c r="U2357">
        <v>402</v>
      </c>
      <c r="V2357" t="s">
        <v>664</v>
      </c>
      <c r="W2357" t="s">
        <v>668</v>
      </c>
      <c r="X2357" t="s">
        <v>224</v>
      </c>
    </row>
    <row r="2358" spans="1:24">
      <c r="A2358">
        <v>13532</v>
      </c>
      <c r="B2358" t="s">
        <v>25</v>
      </c>
      <c r="C2358" t="str">
        <f t="shared" si="74"/>
        <v>INTEGRA Hatchback</v>
      </c>
      <c r="D2358" t="str">
        <f t="shared" si="75"/>
        <v>1.5</v>
      </c>
      <c r="E2358" t="s">
        <v>1760</v>
      </c>
      <c r="F2358">
        <v>198501</v>
      </c>
      <c r="G2358">
        <v>199012</v>
      </c>
      <c r="H2358">
        <v>63</v>
      </c>
      <c r="I2358">
        <v>85</v>
      </c>
      <c r="J2358">
        <v>1488</v>
      </c>
      <c r="K2358">
        <v>1919799</v>
      </c>
      <c r="L2358" t="s">
        <v>746</v>
      </c>
      <c r="M2358" t="str">
        <f>"MDB1360"</f>
        <v>MDB1360</v>
      </c>
      <c r="N2358" t="str">
        <f>"MDB1360"</f>
        <v>MDB1360</v>
      </c>
      <c r="O2358" t="str">
        <f>"21312"</f>
        <v>21312</v>
      </c>
      <c r="P2358" t="s">
        <v>664</v>
      </c>
      <c r="Q2358" t="str">
        <f>"5028740002639"</f>
        <v>5028740002639</v>
      </c>
      <c r="R2358" t="s">
        <v>749</v>
      </c>
      <c r="S2358" t="s">
        <v>221</v>
      </c>
      <c r="T2358" s="1" t="s">
        <v>750</v>
      </c>
      <c r="U2358">
        <v>402</v>
      </c>
      <c r="V2358" t="s">
        <v>664</v>
      </c>
      <c r="W2358" t="s">
        <v>668</v>
      </c>
      <c r="X2358" t="s">
        <v>224</v>
      </c>
    </row>
    <row r="2359" spans="1:24">
      <c r="A2359">
        <v>13532</v>
      </c>
      <c r="B2359" t="s">
        <v>25</v>
      </c>
      <c r="C2359" t="str">
        <f t="shared" si="74"/>
        <v>INTEGRA Hatchback</v>
      </c>
      <c r="D2359" t="str">
        <f t="shared" si="75"/>
        <v>1.5</v>
      </c>
      <c r="E2359" t="s">
        <v>1760</v>
      </c>
      <c r="F2359">
        <v>198501</v>
      </c>
      <c r="G2359">
        <v>199012</v>
      </c>
      <c r="H2359">
        <v>63</v>
      </c>
      <c r="I2359">
        <v>85</v>
      </c>
      <c r="J2359">
        <v>1488</v>
      </c>
      <c r="K2359">
        <v>1919830</v>
      </c>
      <c r="L2359" t="s">
        <v>746</v>
      </c>
      <c r="M2359" t="str">
        <f>"MDB1411"</f>
        <v>MDB1411</v>
      </c>
      <c r="N2359" t="str">
        <f>"MDB1411"</f>
        <v>MDB1411</v>
      </c>
      <c r="O2359" t="str">
        <f>"21312"</f>
        <v>21312</v>
      </c>
      <c r="P2359" t="s">
        <v>664</v>
      </c>
      <c r="Q2359" t="str">
        <f>"5028740003063"</f>
        <v>5028740003063</v>
      </c>
      <c r="R2359" t="s">
        <v>751</v>
      </c>
      <c r="S2359" t="s">
        <v>221</v>
      </c>
      <c r="T2359" s="1" t="s">
        <v>752</v>
      </c>
      <c r="U2359">
        <v>402</v>
      </c>
      <c r="V2359" t="s">
        <v>664</v>
      </c>
      <c r="W2359" t="s">
        <v>668</v>
      </c>
      <c r="X2359" t="s">
        <v>224</v>
      </c>
    </row>
    <row r="2360" spans="1:24">
      <c r="A2360">
        <v>13532</v>
      </c>
      <c r="B2360" t="s">
        <v>25</v>
      </c>
      <c r="C2360" t="str">
        <f t="shared" si="74"/>
        <v>INTEGRA Hatchback</v>
      </c>
      <c r="D2360" t="str">
        <f t="shared" si="75"/>
        <v>1.5</v>
      </c>
      <c r="E2360" t="s">
        <v>1760</v>
      </c>
      <c r="F2360">
        <v>198501</v>
      </c>
      <c r="G2360">
        <v>199012</v>
      </c>
      <c r="H2360">
        <v>63</v>
      </c>
      <c r="I2360">
        <v>85</v>
      </c>
      <c r="J2360">
        <v>1488</v>
      </c>
      <c r="K2360">
        <v>2053896</v>
      </c>
      <c r="L2360" t="s">
        <v>753</v>
      </c>
      <c r="M2360" t="str">
        <f>"023302"</f>
        <v>023302</v>
      </c>
      <c r="N2360" t="str">
        <f>"0233.02"</f>
        <v>0233.02</v>
      </c>
      <c r="O2360" t="str">
        <f>"21312"</f>
        <v>21312</v>
      </c>
      <c r="P2360" t="s">
        <v>664</v>
      </c>
      <c r="Q2360" t="str">
        <f>"8427975005731"</f>
        <v>8427975005731</v>
      </c>
      <c r="R2360" s="1" t="s">
        <v>754</v>
      </c>
      <c r="T2360" s="1" t="s">
        <v>755</v>
      </c>
      <c r="U2360">
        <v>402</v>
      </c>
      <c r="V2360" t="s">
        <v>664</v>
      </c>
      <c r="W2360" t="s">
        <v>668</v>
      </c>
      <c r="X2360" t="s">
        <v>224</v>
      </c>
    </row>
    <row r="2361" spans="1:24">
      <c r="A2361">
        <v>13532</v>
      </c>
      <c r="B2361" t="s">
        <v>25</v>
      </c>
      <c r="C2361" t="str">
        <f t="shared" si="74"/>
        <v>INTEGRA Hatchback</v>
      </c>
      <c r="D2361" t="str">
        <f t="shared" si="75"/>
        <v>1.5</v>
      </c>
      <c r="E2361" t="s">
        <v>1760</v>
      </c>
      <c r="F2361">
        <v>198501</v>
      </c>
      <c r="G2361">
        <v>199012</v>
      </c>
      <c r="H2361">
        <v>63</v>
      </c>
      <c r="I2361">
        <v>85</v>
      </c>
      <c r="J2361">
        <v>1488</v>
      </c>
      <c r="K2361">
        <v>2060438</v>
      </c>
      <c r="L2361" t="s">
        <v>753</v>
      </c>
      <c r="M2361" t="str">
        <f>"1170251"</f>
        <v>1170251</v>
      </c>
      <c r="N2361" t="str">
        <f>"1170251"</f>
        <v>1170251</v>
      </c>
      <c r="O2361" t="str">
        <f>"21312"</f>
        <v>21312</v>
      </c>
      <c r="P2361" t="s">
        <v>664</v>
      </c>
      <c r="Q2361" t="str">
        <f>"4250032669416"</f>
        <v>4250032669416</v>
      </c>
      <c r="R2361" t="s">
        <v>756</v>
      </c>
      <c r="T2361" s="1" t="s">
        <v>755</v>
      </c>
      <c r="U2361">
        <v>402</v>
      </c>
      <c r="V2361" t="s">
        <v>664</v>
      </c>
      <c r="W2361" t="s">
        <v>668</v>
      </c>
      <c r="X2361" t="s">
        <v>224</v>
      </c>
    </row>
    <row r="2362" spans="1:24">
      <c r="A2362">
        <v>13532</v>
      </c>
      <c r="B2362" t="s">
        <v>25</v>
      </c>
      <c r="C2362" t="str">
        <f t="shared" si="74"/>
        <v>INTEGRA Hatchback</v>
      </c>
      <c r="D2362" t="str">
        <f t="shared" si="75"/>
        <v>1.5</v>
      </c>
      <c r="E2362" t="s">
        <v>1760</v>
      </c>
      <c r="F2362">
        <v>198501</v>
      </c>
      <c r="G2362">
        <v>199012</v>
      </c>
      <c r="H2362">
        <v>63</v>
      </c>
      <c r="I2362">
        <v>85</v>
      </c>
      <c r="J2362">
        <v>1488</v>
      </c>
      <c r="K2362">
        <v>2113897</v>
      </c>
      <c r="L2362" t="s">
        <v>95</v>
      </c>
      <c r="M2362" t="str">
        <f>"363700200034"</f>
        <v>363700200034</v>
      </c>
      <c r="N2362" t="str">
        <f>"363700200034"</f>
        <v>363700200034</v>
      </c>
      <c r="O2362" t="str">
        <f>"T0034MM"</f>
        <v>T0034MM</v>
      </c>
      <c r="P2362" t="s">
        <v>664</v>
      </c>
      <c r="Q2362" t="str">
        <f>"8001063554853"</f>
        <v>8001063554853</v>
      </c>
      <c r="R2362" t="s">
        <v>757</v>
      </c>
      <c r="S2362" t="s">
        <v>221</v>
      </c>
      <c r="T2362" s="1" t="s">
        <v>758</v>
      </c>
      <c r="U2362">
        <v>402</v>
      </c>
      <c r="V2362" t="s">
        <v>664</v>
      </c>
      <c r="W2362" t="s">
        <v>668</v>
      </c>
      <c r="X2362" t="s">
        <v>224</v>
      </c>
    </row>
    <row r="2363" spans="1:24">
      <c r="A2363">
        <v>13532</v>
      </c>
      <c r="B2363" t="s">
        <v>25</v>
      </c>
      <c r="C2363" t="str">
        <f t="shared" si="74"/>
        <v>INTEGRA Hatchback</v>
      </c>
      <c r="D2363" t="str">
        <f t="shared" si="75"/>
        <v>1.5</v>
      </c>
      <c r="E2363" t="s">
        <v>1760</v>
      </c>
      <c r="F2363">
        <v>198501</v>
      </c>
      <c r="G2363">
        <v>199012</v>
      </c>
      <c r="H2363">
        <v>63</v>
      </c>
      <c r="I2363">
        <v>85</v>
      </c>
      <c r="J2363">
        <v>1488</v>
      </c>
      <c r="K2363">
        <v>2117469</v>
      </c>
      <c r="L2363" t="s">
        <v>95</v>
      </c>
      <c r="M2363" t="str">
        <f>"363916060457"</f>
        <v>363916060457</v>
      </c>
      <c r="N2363" t="str">
        <f>"363916060457"</f>
        <v>363916060457</v>
      </c>
      <c r="O2363" t="str">
        <f>"PF0457"</f>
        <v>PF0457</v>
      </c>
      <c r="P2363" t="s">
        <v>664</v>
      </c>
      <c r="Q2363" t="str">
        <f>"8001063679624"</f>
        <v>8001063679624</v>
      </c>
      <c r="R2363" t="s">
        <v>759</v>
      </c>
      <c r="S2363" t="s">
        <v>221</v>
      </c>
      <c r="T2363" s="1" t="s">
        <v>760</v>
      </c>
      <c r="U2363">
        <v>402</v>
      </c>
      <c r="V2363" t="s">
        <v>664</v>
      </c>
      <c r="W2363" t="s">
        <v>668</v>
      </c>
      <c r="X2363" t="s">
        <v>224</v>
      </c>
    </row>
    <row r="2364" spans="1:24">
      <c r="A2364">
        <v>13532</v>
      </c>
      <c r="B2364" t="s">
        <v>25</v>
      </c>
      <c r="C2364" t="str">
        <f t="shared" si="74"/>
        <v>INTEGRA Hatchback</v>
      </c>
      <c r="D2364" t="str">
        <f t="shared" si="75"/>
        <v>1.5</v>
      </c>
      <c r="E2364" t="s">
        <v>1760</v>
      </c>
      <c r="F2364">
        <v>198501</v>
      </c>
      <c r="G2364">
        <v>199012</v>
      </c>
      <c r="H2364">
        <v>63</v>
      </c>
      <c r="I2364">
        <v>85</v>
      </c>
      <c r="J2364">
        <v>1488</v>
      </c>
      <c r="K2364">
        <v>2203625</v>
      </c>
      <c r="L2364" t="s">
        <v>181</v>
      </c>
      <c r="M2364" t="str">
        <f>"811021004"</f>
        <v>811021004</v>
      </c>
      <c r="N2364" t="str">
        <f>"8110 21004"</f>
        <v>8110 21004</v>
      </c>
      <c r="O2364" t="str">
        <f>""</f>
        <v/>
      </c>
      <c r="P2364" t="s">
        <v>664</v>
      </c>
      <c r="Q2364" t="str">
        <f>"5709147852552"</f>
        <v>5709147852552</v>
      </c>
      <c r="R2364" t="s">
        <v>761</v>
      </c>
      <c r="S2364" t="s">
        <v>221</v>
      </c>
      <c r="T2364" s="1" t="s">
        <v>762</v>
      </c>
      <c r="U2364">
        <v>402</v>
      </c>
      <c r="V2364" t="s">
        <v>664</v>
      </c>
      <c r="W2364" t="s">
        <v>668</v>
      </c>
      <c r="X2364" t="s">
        <v>224</v>
      </c>
    </row>
    <row r="2365" spans="1:24">
      <c r="A2365">
        <v>13532</v>
      </c>
      <c r="B2365" t="s">
        <v>25</v>
      </c>
      <c r="C2365" t="str">
        <f t="shared" si="74"/>
        <v>INTEGRA Hatchback</v>
      </c>
      <c r="D2365" t="str">
        <f t="shared" si="75"/>
        <v>1.5</v>
      </c>
      <c r="E2365" t="s">
        <v>1760</v>
      </c>
      <c r="F2365">
        <v>198501</v>
      </c>
      <c r="G2365">
        <v>199012</v>
      </c>
      <c r="H2365">
        <v>63</v>
      </c>
      <c r="I2365">
        <v>85</v>
      </c>
      <c r="J2365">
        <v>1488</v>
      </c>
      <c r="K2365">
        <v>2204057</v>
      </c>
      <c r="L2365" t="s">
        <v>181</v>
      </c>
      <c r="M2365" t="str">
        <f>"811040853"</f>
        <v>811040853</v>
      </c>
      <c r="N2365" t="str">
        <f>"8110 40853"</f>
        <v>8110 40853</v>
      </c>
      <c r="O2365" t="str">
        <f>""</f>
        <v/>
      </c>
      <c r="P2365" t="s">
        <v>664</v>
      </c>
      <c r="Q2365" t="str">
        <f>""</f>
        <v/>
      </c>
      <c r="S2365" t="s">
        <v>310</v>
      </c>
      <c r="U2365">
        <v>402</v>
      </c>
      <c r="V2365" t="s">
        <v>664</v>
      </c>
      <c r="W2365" t="s">
        <v>668</v>
      </c>
      <c r="X2365" t="s">
        <v>224</v>
      </c>
    </row>
    <row r="2366" spans="1:24">
      <c r="A2366">
        <v>13532</v>
      </c>
      <c r="B2366" t="s">
        <v>25</v>
      </c>
      <c r="C2366" t="str">
        <f t="shared" si="74"/>
        <v>INTEGRA Hatchback</v>
      </c>
      <c r="D2366" t="str">
        <f t="shared" si="75"/>
        <v>1.5</v>
      </c>
      <c r="E2366" t="s">
        <v>1760</v>
      </c>
      <c r="F2366">
        <v>198501</v>
      </c>
      <c r="G2366">
        <v>199012</v>
      </c>
      <c r="H2366">
        <v>63</v>
      </c>
      <c r="I2366">
        <v>85</v>
      </c>
      <c r="J2366">
        <v>1488</v>
      </c>
      <c r="K2366">
        <v>2204065</v>
      </c>
      <c r="L2366" t="s">
        <v>181</v>
      </c>
      <c r="M2366" t="str">
        <f>"811040978"</f>
        <v>811040978</v>
      </c>
      <c r="N2366" t="str">
        <f>"8110 40978"</f>
        <v>8110 40978</v>
      </c>
      <c r="O2366" t="str">
        <f>""</f>
        <v/>
      </c>
      <c r="P2366" t="s">
        <v>664</v>
      </c>
      <c r="Q2366" t="str">
        <f>"5709147321362"</f>
        <v>5709147321362</v>
      </c>
      <c r="R2366" t="s">
        <v>763</v>
      </c>
      <c r="S2366" t="s">
        <v>221</v>
      </c>
      <c r="T2366" s="1" t="s">
        <v>764</v>
      </c>
      <c r="U2366">
        <v>402</v>
      </c>
      <c r="V2366" t="s">
        <v>664</v>
      </c>
      <c r="W2366" t="s">
        <v>668</v>
      </c>
      <c r="X2366" t="s">
        <v>224</v>
      </c>
    </row>
    <row r="2367" spans="1:24">
      <c r="A2367">
        <v>13532</v>
      </c>
      <c r="B2367" t="s">
        <v>25</v>
      </c>
      <c r="C2367" t="str">
        <f t="shared" si="74"/>
        <v>INTEGRA Hatchback</v>
      </c>
      <c r="D2367" t="str">
        <f t="shared" si="75"/>
        <v>1.5</v>
      </c>
      <c r="E2367" t="s">
        <v>1760</v>
      </c>
      <c r="F2367">
        <v>198501</v>
      </c>
      <c r="G2367">
        <v>199012</v>
      </c>
      <c r="H2367">
        <v>63</v>
      </c>
      <c r="I2367">
        <v>85</v>
      </c>
      <c r="J2367">
        <v>1488</v>
      </c>
      <c r="K2367">
        <v>2309163</v>
      </c>
      <c r="L2367" t="s">
        <v>234</v>
      </c>
      <c r="M2367" t="str">
        <f>"2201701"</f>
        <v>2201701</v>
      </c>
      <c r="N2367" t="str">
        <f>"22-0170-1"</f>
        <v>22-0170-1</v>
      </c>
      <c r="O2367" t="str">
        <f>""</f>
        <v/>
      </c>
      <c r="P2367" t="s">
        <v>664</v>
      </c>
      <c r="Q2367" t="str">
        <f>""</f>
        <v/>
      </c>
      <c r="R2367" t="s">
        <v>674</v>
      </c>
      <c r="S2367" t="s">
        <v>675</v>
      </c>
      <c r="T2367" s="1" t="s">
        <v>765</v>
      </c>
      <c r="U2367">
        <v>402</v>
      </c>
      <c r="V2367" t="s">
        <v>664</v>
      </c>
      <c r="W2367" t="s">
        <v>668</v>
      </c>
      <c r="X2367" t="s">
        <v>224</v>
      </c>
    </row>
    <row r="2368" spans="1:24">
      <c r="A2368">
        <v>13532</v>
      </c>
      <c r="B2368" t="s">
        <v>25</v>
      </c>
      <c r="C2368" t="str">
        <f t="shared" si="74"/>
        <v>INTEGRA Hatchback</v>
      </c>
      <c r="D2368" t="str">
        <f t="shared" si="75"/>
        <v>1.5</v>
      </c>
      <c r="E2368" t="s">
        <v>1760</v>
      </c>
      <c r="F2368">
        <v>198501</v>
      </c>
      <c r="G2368">
        <v>199012</v>
      </c>
      <c r="H2368">
        <v>63</v>
      </c>
      <c r="I2368">
        <v>85</v>
      </c>
      <c r="J2368">
        <v>1488</v>
      </c>
      <c r="K2368">
        <v>2309164</v>
      </c>
      <c r="L2368" t="s">
        <v>234</v>
      </c>
      <c r="M2368" t="str">
        <f>"2201710"</f>
        <v>2201710</v>
      </c>
      <c r="N2368" t="str">
        <f>"22-0171-0"</f>
        <v>22-0171-0</v>
      </c>
      <c r="O2368" t="str">
        <f>""</f>
        <v/>
      </c>
      <c r="P2368" t="s">
        <v>664</v>
      </c>
      <c r="Q2368" t="str">
        <f>""</f>
        <v/>
      </c>
      <c r="R2368" t="s">
        <v>677</v>
      </c>
      <c r="S2368" t="s">
        <v>678</v>
      </c>
      <c r="T2368" s="1" t="s">
        <v>766</v>
      </c>
      <c r="U2368">
        <v>402</v>
      </c>
      <c r="V2368" t="s">
        <v>664</v>
      </c>
      <c r="W2368" t="s">
        <v>668</v>
      </c>
      <c r="X2368" t="s">
        <v>224</v>
      </c>
    </row>
    <row r="2369" spans="1:24">
      <c r="A2369">
        <v>13532</v>
      </c>
      <c r="B2369" t="s">
        <v>25</v>
      </c>
      <c r="C2369" t="str">
        <f t="shared" si="74"/>
        <v>INTEGRA Hatchback</v>
      </c>
      <c r="D2369" t="str">
        <f t="shared" si="75"/>
        <v>1.5</v>
      </c>
      <c r="E2369" t="s">
        <v>1760</v>
      </c>
      <c r="F2369">
        <v>198501</v>
      </c>
      <c r="G2369">
        <v>199012</v>
      </c>
      <c r="H2369">
        <v>63</v>
      </c>
      <c r="I2369">
        <v>85</v>
      </c>
      <c r="J2369">
        <v>1488</v>
      </c>
      <c r="K2369">
        <v>2309289</v>
      </c>
      <c r="L2369" t="s">
        <v>234</v>
      </c>
      <c r="M2369" t="str">
        <f>"2202371"</f>
        <v>2202371</v>
      </c>
      <c r="N2369" t="str">
        <f>"22-0237-1"</f>
        <v>22-0237-1</v>
      </c>
      <c r="O2369" t="str">
        <f>""</f>
        <v/>
      </c>
      <c r="P2369" t="s">
        <v>664</v>
      </c>
      <c r="Q2369" t="str">
        <f>""</f>
        <v/>
      </c>
      <c r="R2369" t="s">
        <v>680</v>
      </c>
      <c r="S2369" t="s">
        <v>681</v>
      </c>
      <c r="T2369" s="1" t="s">
        <v>767</v>
      </c>
      <c r="U2369">
        <v>402</v>
      </c>
      <c r="V2369" t="s">
        <v>664</v>
      </c>
      <c r="W2369" t="s">
        <v>668</v>
      </c>
      <c r="X2369" t="s">
        <v>224</v>
      </c>
    </row>
    <row r="2370" spans="1:24">
      <c r="A2370">
        <v>13532</v>
      </c>
      <c r="B2370" t="s">
        <v>25</v>
      </c>
      <c r="C2370" t="str">
        <f t="shared" si="74"/>
        <v>INTEGRA Hatchback</v>
      </c>
      <c r="D2370" t="str">
        <f t="shared" si="75"/>
        <v>1.5</v>
      </c>
      <c r="E2370" t="s">
        <v>1760</v>
      </c>
      <c r="F2370">
        <v>198501</v>
      </c>
      <c r="G2370">
        <v>199012</v>
      </c>
      <c r="H2370">
        <v>63</v>
      </c>
      <c r="I2370">
        <v>85</v>
      </c>
      <c r="J2370">
        <v>1488</v>
      </c>
      <c r="K2370">
        <v>2351958</v>
      </c>
      <c r="L2370" t="s">
        <v>364</v>
      </c>
      <c r="M2370" t="str">
        <f>"9457"</f>
        <v>9457</v>
      </c>
      <c r="N2370" t="str">
        <f>"9457"</f>
        <v>9457</v>
      </c>
      <c r="O2370" t="str">
        <f>"20099"</f>
        <v>20099</v>
      </c>
      <c r="P2370" t="s">
        <v>664</v>
      </c>
      <c r="Q2370" t="str">
        <f>"4031185142014"</f>
        <v>4031185142014</v>
      </c>
      <c r="R2370" t="s">
        <v>768</v>
      </c>
      <c r="T2370" s="1" t="s">
        <v>769</v>
      </c>
      <c r="U2370">
        <v>402</v>
      </c>
      <c r="V2370" t="s">
        <v>664</v>
      </c>
      <c r="W2370" t="s">
        <v>668</v>
      </c>
      <c r="X2370" t="s">
        <v>224</v>
      </c>
    </row>
    <row r="2371" spans="1:24">
      <c r="A2371">
        <v>13532</v>
      </c>
      <c r="B2371" t="s">
        <v>25</v>
      </c>
      <c r="C2371" t="str">
        <f t="shared" si="74"/>
        <v>INTEGRA Hatchback</v>
      </c>
      <c r="D2371" t="str">
        <f t="shared" si="75"/>
        <v>1.5</v>
      </c>
      <c r="E2371" t="s">
        <v>1760</v>
      </c>
      <c r="F2371">
        <v>198501</v>
      </c>
      <c r="G2371">
        <v>199012</v>
      </c>
      <c r="H2371">
        <v>63</v>
      </c>
      <c r="I2371">
        <v>85</v>
      </c>
      <c r="J2371">
        <v>1488</v>
      </c>
      <c r="K2371">
        <v>2352280</v>
      </c>
      <c r="L2371" t="s">
        <v>364</v>
      </c>
      <c r="M2371" t="str">
        <f>"9652"</f>
        <v>9652</v>
      </c>
      <c r="N2371" t="str">
        <f>"9652"</f>
        <v>9652</v>
      </c>
      <c r="O2371" t="str">
        <f>""</f>
        <v/>
      </c>
      <c r="P2371" t="s">
        <v>664</v>
      </c>
      <c r="Q2371" t="str">
        <f>"4031185140560"</f>
        <v>4031185140560</v>
      </c>
      <c r="R2371" t="s">
        <v>770</v>
      </c>
      <c r="T2371" s="1" t="s">
        <v>771</v>
      </c>
      <c r="U2371">
        <v>402</v>
      </c>
      <c r="V2371" t="s">
        <v>664</v>
      </c>
      <c r="W2371" t="s">
        <v>668</v>
      </c>
      <c r="X2371" t="s">
        <v>224</v>
      </c>
    </row>
    <row r="2372" spans="1:24">
      <c r="A2372">
        <v>13532</v>
      </c>
      <c r="B2372" t="s">
        <v>25</v>
      </c>
      <c r="C2372" t="str">
        <f t="shared" si="74"/>
        <v>INTEGRA Hatchback</v>
      </c>
      <c r="D2372" t="str">
        <f t="shared" si="75"/>
        <v>1.5</v>
      </c>
      <c r="E2372" t="s">
        <v>1760</v>
      </c>
      <c r="F2372">
        <v>198501</v>
      </c>
      <c r="G2372">
        <v>199012</v>
      </c>
      <c r="H2372">
        <v>63</v>
      </c>
      <c r="I2372">
        <v>85</v>
      </c>
      <c r="J2372">
        <v>1488</v>
      </c>
      <c r="K2372">
        <v>2352295</v>
      </c>
      <c r="L2372" t="s">
        <v>364</v>
      </c>
      <c r="M2372" t="str">
        <f>"9672"</f>
        <v>9672</v>
      </c>
      <c r="N2372" t="str">
        <f>"9672"</f>
        <v>9672</v>
      </c>
      <c r="O2372" t="str">
        <f>""</f>
        <v/>
      </c>
      <c r="P2372" t="s">
        <v>664</v>
      </c>
      <c r="Q2372" t="str">
        <f>"4031185142106"</f>
        <v>4031185142106</v>
      </c>
      <c r="R2372" t="s">
        <v>772</v>
      </c>
      <c r="T2372" s="1" t="s">
        <v>773</v>
      </c>
      <c r="U2372">
        <v>402</v>
      </c>
      <c r="V2372" t="s">
        <v>664</v>
      </c>
      <c r="W2372" t="s">
        <v>668</v>
      </c>
      <c r="X2372" t="s">
        <v>224</v>
      </c>
    </row>
    <row r="2373" spans="1:24">
      <c r="A2373">
        <v>13532</v>
      </c>
      <c r="B2373" t="s">
        <v>25</v>
      </c>
      <c r="C2373" t="str">
        <f t="shared" si="74"/>
        <v>INTEGRA Hatchback</v>
      </c>
      <c r="D2373" t="str">
        <f t="shared" si="75"/>
        <v>1.5</v>
      </c>
      <c r="E2373" t="s">
        <v>1760</v>
      </c>
      <c r="F2373">
        <v>198501</v>
      </c>
      <c r="G2373">
        <v>199012</v>
      </c>
      <c r="H2373">
        <v>63</v>
      </c>
      <c r="I2373">
        <v>85</v>
      </c>
      <c r="J2373">
        <v>1488</v>
      </c>
      <c r="K2373">
        <v>2545953</v>
      </c>
      <c r="L2373" t="s">
        <v>371</v>
      </c>
      <c r="M2373" t="str">
        <f>"222802"</f>
        <v>222802</v>
      </c>
      <c r="N2373" t="str">
        <f>"2228.02"</f>
        <v>2228.02</v>
      </c>
      <c r="O2373" t="str">
        <f>"PSX222802"</f>
        <v>PSX222802</v>
      </c>
      <c r="P2373" t="s">
        <v>664</v>
      </c>
      <c r="Q2373" t="str">
        <f>"8427975255747"</f>
        <v>8427975255747</v>
      </c>
      <c r="R2373" t="s">
        <v>774</v>
      </c>
      <c r="T2373" s="1" t="s">
        <v>775</v>
      </c>
      <c r="U2373">
        <v>402</v>
      </c>
      <c r="V2373" t="s">
        <v>664</v>
      </c>
      <c r="W2373" t="s">
        <v>668</v>
      </c>
      <c r="X2373" t="s">
        <v>224</v>
      </c>
    </row>
    <row r="2374" spans="1:24">
      <c r="A2374">
        <v>13532</v>
      </c>
      <c r="B2374" t="s">
        <v>25</v>
      </c>
      <c r="C2374" t="str">
        <f t="shared" ref="C2374:C2425" si="76">"INTEGRA Hatchback"</f>
        <v>INTEGRA Hatchback</v>
      </c>
      <c r="D2374" t="str">
        <f t="shared" ref="D2374:D2425" si="77">"1.5"</f>
        <v>1.5</v>
      </c>
      <c r="E2374" t="s">
        <v>1760</v>
      </c>
      <c r="F2374">
        <v>198501</v>
      </c>
      <c r="G2374">
        <v>199012</v>
      </c>
      <c r="H2374">
        <v>63</v>
      </c>
      <c r="I2374">
        <v>85</v>
      </c>
      <c r="J2374">
        <v>1488</v>
      </c>
      <c r="K2374">
        <v>2545961</v>
      </c>
      <c r="L2374" t="s">
        <v>371</v>
      </c>
      <c r="M2374" t="str">
        <f>"223320"</f>
        <v>223320</v>
      </c>
      <c r="N2374" t="str">
        <f>"2233.20"</f>
        <v>2233.20</v>
      </c>
      <c r="O2374" t="str">
        <f>"PSX223320"</f>
        <v>PSX223320</v>
      </c>
      <c r="P2374" t="s">
        <v>664</v>
      </c>
      <c r="Q2374" t="str">
        <f>"8427975255839"</f>
        <v>8427975255839</v>
      </c>
      <c r="R2374" s="1" t="s">
        <v>776</v>
      </c>
      <c r="T2374" s="1" t="s">
        <v>777</v>
      </c>
      <c r="U2374">
        <v>402</v>
      </c>
      <c r="V2374" t="s">
        <v>664</v>
      </c>
      <c r="W2374" t="s">
        <v>668</v>
      </c>
      <c r="X2374" t="s">
        <v>224</v>
      </c>
    </row>
    <row r="2375" spans="1:24">
      <c r="A2375">
        <v>13532</v>
      </c>
      <c r="B2375" t="s">
        <v>25</v>
      </c>
      <c r="C2375" t="str">
        <f t="shared" si="76"/>
        <v>INTEGRA Hatchback</v>
      </c>
      <c r="D2375" t="str">
        <f t="shared" si="77"/>
        <v>1.5</v>
      </c>
      <c r="E2375" t="s">
        <v>1760</v>
      </c>
      <c r="F2375">
        <v>198501</v>
      </c>
      <c r="G2375">
        <v>199012</v>
      </c>
      <c r="H2375">
        <v>63</v>
      </c>
      <c r="I2375">
        <v>85</v>
      </c>
      <c r="J2375">
        <v>1488</v>
      </c>
      <c r="K2375">
        <v>2546562</v>
      </c>
      <c r="L2375" t="s">
        <v>371</v>
      </c>
      <c r="M2375" t="str">
        <f>"264610"</f>
        <v>264610</v>
      </c>
      <c r="N2375" t="str">
        <f>"2646.10"</f>
        <v>2646.10</v>
      </c>
      <c r="O2375" t="str">
        <f>"PSX264610"</f>
        <v>PSX264610</v>
      </c>
      <c r="P2375" t="s">
        <v>664</v>
      </c>
      <c r="Q2375" t="str">
        <f>"8427975262202"</f>
        <v>8427975262202</v>
      </c>
      <c r="R2375" s="1" t="s">
        <v>778</v>
      </c>
      <c r="T2375" s="1" t="s">
        <v>779</v>
      </c>
      <c r="U2375">
        <v>402</v>
      </c>
      <c r="V2375" t="s">
        <v>664</v>
      </c>
      <c r="W2375" t="s">
        <v>668</v>
      </c>
      <c r="X2375" t="s">
        <v>224</v>
      </c>
    </row>
    <row r="2376" spans="1:24">
      <c r="A2376">
        <v>13532</v>
      </c>
      <c r="B2376" t="s">
        <v>25</v>
      </c>
      <c r="C2376" t="str">
        <f t="shared" si="76"/>
        <v>INTEGRA Hatchback</v>
      </c>
      <c r="D2376" t="str">
        <f t="shared" si="77"/>
        <v>1.5</v>
      </c>
      <c r="E2376" t="s">
        <v>1760</v>
      </c>
      <c r="F2376">
        <v>198501</v>
      </c>
      <c r="G2376">
        <v>199012</v>
      </c>
      <c r="H2376">
        <v>63</v>
      </c>
      <c r="I2376">
        <v>85</v>
      </c>
      <c r="J2376">
        <v>1488</v>
      </c>
      <c r="K2376">
        <v>2550450</v>
      </c>
      <c r="L2376" t="s">
        <v>374</v>
      </c>
      <c r="M2376" t="str">
        <f>"022802"</f>
        <v>022802</v>
      </c>
      <c r="N2376" t="str">
        <f>"0228.02"</f>
        <v>0228.02</v>
      </c>
      <c r="O2376" t="str">
        <f>"PCA022802"</f>
        <v>PCA022802</v>
      </c>
      <c r="P2376" t="s">
        <v>664</v>
      </c>
      <c r="Q2376" t="str">
        <f>"8427975005663"</f>
        <v>8427975005663</v>
      </c>
      <c r="R2376" t="s">
        <v>774</v>
      </c>
      <c r="T2376" s="1" t="s">
        <v>780</v>
      </c>
      <c r="U2376">
        <v>402</v>
      </c>
      <c r="V2376" t="s">
        <v>664</v>
      </c>
      <c r="W2376" t="s">
        <v>668</v>
      </c>
      <c r="X2376" t="s">
        <v>224</v>
      </c>
    </row>
    <row r="2377" spans="1:24">
      <c r="A2377">
        <v>13532</v>
      </c>
      <c r="B2377" t="s">
        <v>25</v>
      </c>
      <c r="C2377" t="str">
        <f t="shared" si="76"/>
        <v>INTEGRA Hatchback</v>
      </c>
      <c r="D2377" t="str">
        <f t="shared" si="77"/>
        <v>1.5</v>
      </c>
      <c r="E2377" t="s">
        <v>1760</v>
      </c>
      <c r="F2377">
        <v>198501</v>
      </c>
      <c r="G2377">
        <v>199012</v>
      </c>
      <c r="H2377">
        <v>63</v>
      </c>
      <c r="I2377">
        <v>85</v>
      </c>
      <c r="J2377">
        <v>1488</v>
      </c>
      <c r="K2377">
        <v>2550458</v>
      </c>
      <c r="L2377" t="s">
        <v>374</v>
      </c>
      <c r="M2377" t="str">
        <f>"023320"</f>
        <v>023320</v>
      </c>
      <c r="N2377" t="str">
        <f>"0233.20"</f>
        <v>0233.20</v>
      </c>
      <c r="O2377" t="str">
        <f>"PCA023320"</f>
        <v>PCA023320</v>
      </c>
      <c r="P2377" t="s">
        <v>664</v>
      </c>
      <c r="Q2377" t="str">
        <f>"8427975005755"</f>
        <v>8427975005755</v>
      </c>
      <c r="R2377" s="1" t="s">
        <v>776</v>
      </c>
      <c r="T2377" s="1" t="s">
        <v>781</v>
      </c>
      <c r="U2377">
        <v>402</v>
      </c>
      <c r="V2377" t="s">
        <v>664</v>
      </c>
      <c r="W2377" t="s">
        <v>668</v>
      </c>
      <c r="X2377" t="s">
        <v>224</v>
      </c>
    </row>
    <row r="2378" spans="1:24">
      <c r="A2378">
        <v>13532</v>
      </c>
      <c r="B2378" t="s">
        <v>25</v>
      </c>
      <c r="C2378" t="str">
        <f t="shared" si="76"/>
        <v>INTEGRA Hatchback</v>
      </c>
      <c r="D2378" t="str">
        <f t="shared" si="77"/>
        <v>1.5</v>
      </c>
      <c r="E2378" t="s">
        <v>1760</v>
      </c>
      <c r="F2378">
        <v>198501</v>
      </c>
      <c r="G2378">
        <v>199012</v>
      </c>
      <c r="H2378">
        <v>63</v>
      </c>
      <c r="I2378">
        <v>85</v>
      </c>
      <c r="J2378">
        <v>1488</v>
      </c>
      <c r="K2378">
        <v>2551060</v>
      </c>
      <c r="L2378" t="s">
        <v>374</v>
      </c>
      <c r="M2378" t="str">
        <f>"064610"</f>
        <v>064610</v>
      </c>
      <c r="N2378" t="str">
        <f>"0646.10"</f>
        <v>0646.10</v>
      </c>
      <c r="O2378" t="str">
        <f>"PCA064610"</f>
        <v>PCA064610</v>
      </c>
      <c r="P2378" t="s">
        <v>664</v>
      </c>
      <c r="Q2378" t="str">
        <f>"8427975012210"</f>
        <v>8427975012210</v>
      </c>
      <c r="R2378" t="s">
        <v>782</v>
      </c>
      <c r="T2378" s="1" t="s">
        <v>783</v>
      </c>
      <c r="U2378">
        <v>402</v>
      </c>
      <c r="V2378" t="s">
        <v>664</v>
      </c>
      <c r="W2378" t="s">
        <v>668</v>
      </c>
      <c r="X2378" t="s">
        <v>224</v>
      </c>
    </row>
    <row r="2379" spans="1:24">
      <c r="A2379">
        <v>13532</v>
      </c>
      <c r="B2379" t="s">
        <v>25</v>
      </c>
      <c r="C2379" t="str">
        <f t="shared" si="76"/>
        <v>INTEGRA Hatchback</v>
      </c>
      <c r="D2379" t="str">
        <f t="shared" si="77"/>
        <v>1.5</v>
      </c>
      <c r="E2379" t="s">
        <v>1760</v>
      </c>
      <c r="F2379">
        <v>198501</v>
      </c>
      <c r="G2379">
        <v>199012</v>
      </c>
      <c r="H2379">
        <v>63</v>
      </c>
      <c r="I2379">
        <v>85</v>
      </c>
      <c r="J2379">
        <v>1488</v>
      </c>
      <c r="K2379">
        <v>2587918</v>
      </c>
      <c r="L2379" t="s">
        <v>784</v>
      </c>
      <c r="M2379" t="str">
        <f>"180750"</f>
        <v>180750</v>
      </c>
      <c r="N2379" t="str">
        <f>"180750"</f>
        <v>180750</v>
      </c>
      <c r="O2379" t="str">
        <f>"20099"</f>
        <v>20099</v>
      </c>
      <c r="P2379" t="s">
        <v>664</v>
      </c>
      <c r="Q2379" t="str">
        <f>"8424073010063"</f>
        <v>8424073010063</v>
      </c>
      <c r="R2379" t="s">
        <v>785</v>
      </c>
      <c r="S2379" t="s">
        <v>726</v>
      </c>
      <c r="T2379" s="1" t="s">
        <v>786</v>
      </c>
      <c r="U2379">
        <v>402</v>
      </c>
      <c r="V2379" t="s">
        <v>664</v>
      </c>
      <c r="W2379" t="s">
        <v>668</v>
      </c>
      <c r="X2379" t="s">
        <v>224</v>
      </c>
    </row>
    <row r="2380" spans="1:24">
      <c r="A2380">
        <v>13532</v>
      </c>
      <c r="B2380" t="s">
        <v>25</v>
      </c>
      <c r="C2380" t="str">
        <f t="shared" si="76"/>
        <v>INTEGRA Hatchback</v>
      </c>
      <c r="D2380" t="str">
        <f t="shared" si="77"/>
        <v>1.5</v>
      </c>
      <c r="E2380" t="s">
        <v>1760</v>
      </c>
      <c r="F2380">
        <v>198501</v>
      </c>
      <c r="G2380">
        <v>199012</v>
      </c>
      <c r="H2380">
        <v>63</v>
      </c>
      <c r="I2380">
        <v>85</v>
      </c>
      <c r="J2380">
        <v>1488</v>
      </c>
      <c r="K2380">
        <v>2587922</v>
      </c>
      <c r="L2380" t="s">
        <v>784</v>
      </c>
      <c r="M2380" t="str">
        <f>"180753"</f>
        <v>180753</v>
      </c>
      <c r="N2380" t="str">
        <f>"180753"</f>
        <v>180753</v>
      </c>
      <c r="O2380" t="str">
        <f>"21312"</f>
        <v>21312</v>
      </c>
      <c r="P2380" t="s">
        <v>664</v>
      </c>
      <c r="Q2380" t="str">
        <f>"8424073010094"</f>
        <v>8424073010094</v>
      </c>
      <c r="R2380" s="1" t="s">
        <v>787</v>
      </c>
      <c r="S2380" t="s">
        <v>732</v>
      </c>
      <c r="T2380" s="1" t="s">
        <v>788</v>
      </c>
      <c r="U2380">
        <v>402</v>
      </c>
      <c r="V2380" t="s">
        <v>664</v>
      </c>
      <c r="W2380" t="s">
        <v>668</v>
      </c>
      <c r="X2380" t="s">
        <v>224</v>
      </c>
    </row>
    <row r="2381" spans="1:24">
      <c r="A2381">
        <v>13532</v>
      </c>
      <c r="B2381" t="s">
        <v>25</v>
      </c>
      <c r="C2381" t="str">
        <f t="shared" si="76"/>
        <v>INTEGRA Hatchback</v>
      </c>
      <c r="D2381" t="str">
        <f t="shared" si="77"/>
        <v>1.5</v>
      </c>
      <c r="E2381" t="s">
        <v>1760</v>
      </c>
      <c r="F2381">
        <v>198501</v>
      </c>
      <c r="G2381">
        <v>199012</v>
      </c>
      <c r="H2381">
        <v>63</v>
      </c>
      <c r="I2381">
        <v>85</v>
      </c>
      <c r="J2381">
        <v>1488</v>
      </c>
      <c r="K2381">
        <v>2587923</v>
      </c>
      <c r="L2381" t="s">
        <v>784</v>
      </c>
      <c r="M2381" t="str">
        <f>"180753701"</f>
        <v>180753701</v>
      </c>
      <c r="N2381" t="str">
        <f>"180753-701"</f>
        <v>180753-701</v>
      </c>
      <c r="O2381" t="str">
        <f>"21312"</f>
        <v>21312</v>
      </c>
      <c r="P2381" t="s">
        <v>664</v>
      </c>
      <c r="Q2381" t="str">
        <f>"8424073085689"</f>
        <v>8424073085689</v>
      </c>
      <c r="R2381" s="1" t="s">
        <v>789</v>
      </c>
      <c r="S2381" t="s">
        <v>732</v>
      </c>
      <c r="T2381" s="1" t="s">
        <v>790</v>
      </c>
      <c r="U2381">
        <v>402</v>
      </c>
      <c r="V2381" t="s">
        <v>664</v>
      </c>
      <c r="W2381" t="s">
        <v>668</v>
      </c>
      <c r="X2381" t="s">
        <v>224</v>
      </c>
    </row>
    <row r="2382" spans="1:24">
      <c r="A2382">
        <v>13532</v>
      </c>
      <c r="B2382" t="s">
        <v>25</v>
      </c>
      <c r="C2382" t="str">
        <f t="shared" si="76"/>
        <v>INTEGRA Hatchback</v>
      </c>
      <c r="D2382" t="str">
        <f t="shared" si="77"/>
        <v>1.5</v>
      </c>
      <c r="E2382" t="s">
        <v>1760</v>
      </c>
      <c r="F2382">
        <v>198501</v>
      </c>
      <c r="G2382">
        <v>199012</v>
      </c>
      <c r="H2382">
        <v>63</v>
      </c>
      <c r="I2382">
        <v>85</v>
      </c>
      <c r="J2382">
        <v>1488</v>
      </c>
      <c r="K2382">
        <v>2588074</v>
      </c>
      <c r="L2382" t="s">
        <v>784</v>
      </c>
      <c r="M2382" t="str">
        <f>"180962"</f>
        <v>180962</v>
      </c>
      <c r="N2382" t="str">
        <f>"180962"</f>
        <v>180962</v>
      </c>
      <c r="O2382" t="str">
        <f>"21446"</f>
        <v>21446</v>
      </c>
      <c r="P2382" t="s">
        <v>664</v>
      </c>
      <c r="Q2382" t="str">
        <f>"8424073015679"</f>
        <v>8424073015679</v>
      </c>
      <c r="R2382" t="s">
        <v>791</v>
      </c>
      <c r="S2382" t="s">
        <v>729</v>
      </c>
      <c r="T2382" s="1" t="s">
        <v>792</v>
      </c>
      <c r="U2382">
        <v>402</v>
      </c>
      <c r="V2382" t="s">
        <v>664</v>
      </c>
      <c r="W2382" t="s">
        <v>668</v>
      </c>
      <c r="X2382" t="s">
        <v>224</v>
      </c>
    </row>
    <row r="2383" spans="1:24">
      <c r="A2383">
        <v>13532</v>
      </c>
      <c r="B2383" t="s">
        <v>25</v>
      </c>
      <c r="C2383" t="str">
        <f t="shared" si="76"/>
        <v>INTEGRA Hatchback</v>
      </c>
      <c r="D2383" t="str">
        <f t="shared" si="77"/>
        <v>1.5</v>
      </c>
      <c r="E2383" t="s">
        <v>1760</v>
      </c>
      <c r="F2383">
        <v>198501</v>
      </c>
      <c r="G2383">
        <v>199012</v>
      </c>
      <c r="H2383">
        <v>63</v>
      </c>
      <c r="I2383">
        <v>85</v>
      </c>
      <c r="J2383">
        <v>1488</v>
      </c>
      <c r="K2383">
        <v>2607185</v>
      </c>
      <c r="L2383" t="s">
        <v>377</v>
      </c>
      <c r="M2383" t="str">
        <f>"GDB3034"</f>
        <v>GDB3034</v>
      </c>
      <c r="N2383" t="str">
        <f>"GDB3034"</f>
        <v>GDB3034</v>
      </c>
      <c r="O2383" t="str">
        <f>"21446"</f>
        <v>21446</v>
      </c>
      <c r="P2383" t="s">
        <v>664</v>
      </c>
      <c r="Q2383" t="str">
        <f>"3322937118359"</f>
        <v>3322937118359</v>
      </c>
      <c r="R2383" t="s">
        <v>793</v>
      </c>
      <c r="S2383" t="s">
        <v>678</v>
      </c>
      <c r="T2383" s="1" t="s">
        <v>794</v>
      </c>
      <c r="U2383">
        <v>402</v>
      </c>
      <c r="V2383" t="s">
        <v>664</v>
      </c>
      <c r="W2383" t="s">
        <v>668</v>
      </c>
      <c r="X2383" t="s">
        <v>224</v>
      </c>
    </row>
    <row r="2384" spans="1:24">
      <c r="A2384">
        <v>13532</v>
      </c>
      <c r="B2384" t="s">
        <v>25</v>
      </c>
      <c r="C2384" t="str">
        <f t="shared" si="76"/>
        <v>INTEGRA Hatchback</v>
      </c>
      <c r="D2384" t="str">
        <f t="shared" si="77"/>
        <v>1.5</v>
      </c>
      <c r="E2384" t="s">
        <v>1760</v>
      </c>
      <c r="F2384">
        <v>198501</v>
      </c>
      <c r="G2384">
        <v>199012</v>
      </c>
      <c r="H2384">
        <v>63</v>
      </c>
      <c r="I2384">
        <v>85</v>
      </c>
      <c r="J2384">
        <v>1488</v>
      </c>
      <c r="K2384">
        <v>2607917</v>
      </c>
      <c r="L2384" t="s">
        <v>377</v>
      </c>
      <c r="M2384" t="str">
        <f>"GDB499"</f>
        <v>GDB499</v>
      </c>
      <c r="N2384" t="str">
        <f>"GDB499"</f>
        <v>GDB499</v>
      </c>
      <c r="O2384" t="str">
        <f>"21312"</f>
        <v>21312</v>
      </c>
      <c r="P2384" t="s">
        <v>664</v>
      </c>
      <c r="Q2384" t="str">
        <f>"3322936404996"</f>
        <v>3322936404996</v>
      </c>
      <c r="R2384" t="s">
        <v>795</v>
      </c>
      <c r="S2384" t="s">
        <v>675</v>
      </c>
      <c r="T2384" s="1" t="s">
        <v>796</v>
      </c>
      <c r="U2384">
        <v>402</v>
      </c>
      <c r="V2384" t="s">
        <v>664</v>
      </c>
      <c r="W2384" t="s">
        <v>668</v>
      </c>
      <c r="X2384" t="s">
        <v>224</v>
      </c>
    </row>
    <row r="2385" spans="1:24">
      <c r="A2385">
        <v>13532</v>
      </c>
      <c r="B2385" t="s">
        <v>25</v>
      </c>
      <c r="C2385" t="str">
        <f t="shared" si="76"/>
        <v>INTEGRA Hatchback</v>
      </c>
      <c r="D2385" t="str">
        <f t="shared" si="77"/>
        <v>1.5</v>
      </c>
      <c r="E2385" t="s">
        <v>1760</v>
      </c>
      <c r="F2385">
        <v>198501</v>
      </c>
      <c r="G2385">
        <v>199012</v>
      </c>
      <c r="H2385">
        <v>63</v>
      </c>
      <c r="I2385">
        <v>85</v>
      </c>
      <c r="J2385">
        <v>1488</v>
      </c>
      <c r="K2385">
        <v>2608633</v>
      </c>
      <c r="L2385" t="s">
        <v>377</v>
      </c>
      <c r="M2385" t="str">
        <f>"GDB925"</f>
        <v>GDB925</v>
      </c>
      <c r="N2385" t="str">
        <f>"GDB925"</f>
        <v>GDB925</v>
      </c>
      <c r="O2385" t="str">
        <f>"20099"</f>
        <v>20099</v>
      </c>
      <c r="P2385" t="s">
        <v>664</v>
      </c>
      <c r="Q2385" t="str">
        <f>"3322936409250"</f>
        <v>3322936409250</v>
      </c>
      <c r="R2385" t="s">
        <v>797</v>
      </c>
      <c r="S2385" t="s">
        <v>316</v>
      </c>
      <c r="T2385" s="1" t="s">
        <v>798</v>
      </c>
      <c r="U2385">
        <v>402</v>
      </c>
      <c r="V2385" t="s">
        <v>664</v>
      </c>
      <c r="W2385" t="s">
        <v>668</v>
      </c>
      <c r="X2385" t="s">
        <v>224</v>
      </c>
    </row>
    <row r="2386" spans="1:24">
      <c r="A2386">
        <v>13532</v>
      </c>
      <c r="B2386" t="s">
        <v>25</v>
      </c>
      <c r="C2386" t="str">
        <f t="shared" si="76"/>
        <v>INTEGRA Hatchback</v>
      </c>
      <c r="D2386" t="str">
        <f t="shared" si="77"/>
        <v>1.5</v>
      </c>
      <c r="E2386" t="s">
        <v>1760</v>
      </c>
      <c r="F2386">
        <v>198501</v>
      </c>
      <c r="G2386">
        <v>199012</v>
      </c>
      <c r="H2386">
        <v>63</v>
      </c>
      <c r="I2386">
        <v>85</v>
      </c>
      <c r="J2386">
        <v>1488</v>
      </c>
      <c r="K2386">
        <v>2655365</v>
      </c>
      <c r="L2386" t="s">
        <v>799</v>
      </c>
      <c r="M2386" t="str">
        <f>"ASN200"</f>
        <v>ASN200</v>
      </c>
      <c r="N2386" t="str">
        <f>"ASN-200"</f>
        <v>ASN-200</v>
      </c>
      <c r="O2386" t="str">
        <f>""</f>
        <v/>
      </c>
      <c r="P2386" t="s">
        <v>664</v>
      </c>
      <c r="Q2386" t="str">
        <f>"5411450605984"</f>
        <v>5411450605984</v>
      </c>
      <c r="R2386" t="s">
        <v>800</v>
      </c>
      <c r="S2386" t="s">
        <v>678</v>
      </c>
      <c r="T2386" s="1" t="s">
        <v>801</v>
      </c>
      <c r="U2386">
        <v>402</v>
      </c>
      <c r="V2386" t="s">
        <v>664</v>
      </c>
      <c r="W2386" t="s">
        <v>668</v>
      </c>
      <c r="X2386" t="s">
        <v>224</v>
      </c>
    </row>
    <row r="2387" spans="1:24">
      <c r="A2387">
        <v>13532</v>
      </c>
      <c r="B2387" t="s">
        <v>25</v>
      </c>
      <c r="C2387" t="str">
        <f t="shared" si="76"/>
        <v>INTEGRA Hatchback</v>
      </c>
      <c r="D2387" t="str">
        <f t="shared" si="77"/>
        <v>1.5</v>
      </c>
      <c r="E2387" t="s">
        <v>1760</v>
      </c>
      <c r="F2387">
        <v>198501</v>
      </c>
      <c r="G2387">
        <v>199012</v>
      </c>
      <c r="H2387">
        <v>63</v>
      </c>
      <c r="I2387">
        <v>85</v>
      </c>
      <c r="J2387">
        <v>1488</v>
      </c>
      <c r="K2387">
        <v>2656058</v>
      </c>
      <c r="L2387" t="s">
        <v>799</v>
      </c>
      <c r="M2387" t="str">
        <f>"C1N013"</f>
        <v>C1N013</v>
      </c>
      <c r="N2387" t="str">
        <f>"C1N013"</f>
        <v>C1N013</v>
      </c>
      <c r="O2387" t="str">
        <f>""</f>
        <v/>
      </c>
      <c r="P2387" t="s">
        <v>664</v>
      </c>
      <c r="Q2387" t="str">
        <f>""</f>
        <v/>
      </c>
      <c r="R2387" t="s">
        <v>802</v>
      </c>
      <c r="S2387" t="s">
        <v>678</v>
      </c>
      <c r="T2387" s="1" t="s">
        <v>803</v>
      </c>
      <c r="U2387">
        <v>402</v>
      </c>
      <c r="V2387" t="s">
        <v>664</v>
      </c>
      <c r="W2387" t="s">
        <v>668</v>
      </c>
      <c r="X2387" t="s">
        <v>224</v>
      </c>
    </row>
    <row r="2388" spans="1:24">
      <c r="A2388">
        <v>13532</v>
      </c>
      <c r="B2388" t="s">
        <v>25</v>
      </c>
      <c r="C2388" t="str">
        <f t="shared" si="76"/>
        <v>INTEGRA Hatchback</v>
      </c>
      <c r="D2388" t="str">
        <f t="shared" si="77"/>
        <v>1.5</v>
      </c>
      <c r="E2388" t="s">
        <v>1760</v>
      </c>
      <c r="F2388">
        <v>198501</v>
      </c>
      <c r="G2388">
        <v>199012</v>
      </c>
      <c r="H2388">
        <v>63</v>
      </c>
      <c r="I2388">
        <v>85</v>
      </c>
      <c r="J2388">
        <v>1488</v>
      </c>
      <c r="K2388">
        <v>2716064</v>
      </c>
      <c r="L2388" t="s">
        <v>804</v>
      </c>
      <c r="M2388" t="str">
        <f>"JQ101944"</f>
        <v>JQ101944</v>
      </c>
      <c r="N2388" t="str">
        <f>"JQ101944"</f>
        <v>JQ101944</v>
      </c>
      <c r="O2388" t="str">
        <f>""</f>
        <v/>
      </c>
      <c r="P2388" t="s">
        <v>664</v>
      </c>
      <c r="Q2388" t="str">
        <f>"5908242626826"</f>
        <v>5908242626826</v>
      </c>
      <c r="R2388" t="s">
        <v>805</v>
      </c>
      <c r="T2388" s="1" t="s">
        <v>806</v>
      </c>
      <c r="U2388">
        <v>402</v>
      </c>
      <c r="V2388" t="s">
        <v>664</v>
      </c>
      <c r="W2388" t="s">
        <v>668</v>
      </c>
      <c r="X2388" t="s">
        <v>224</v>
      </c>
    </row>
    <row r="2389" spans="1:24">
      <c r="A2389">
        <v>13532</v>
      </c>
      <c r="B2389" t="s">
        <v>25</v>
      </c>
      <c r="C2389" t="str">
        <f t="shared" si="76"/>
        <v>INTEGRA Hatchback</v>
      </c>
      <c r="D2389" t="str">
        <f t="shared" si="77"/>
        <v>1.5</v>
      </c>
      <c r="E2389" t="s">
        <v>1760</v>
      </c>
      <c r="F2389">
        <v>198501</v>
      </c>
      <c r="G2389">
        <v>199012</v>
      </c>
      <c r="H2389">
        <v>63</v>
      </c>
      <c r="I2389">
        <v>85</v>
      </c>
      <c r="J2389">
        <v>1488</v>
      </c>
      <c r="K2389">
        <v>2718639</v>
      </c>
      <c r="L2389" t="s">
        <v>149</v>
      </c>
      <c r="M2389" t="str">
        <f>"B110662"</f>
        <v>B110662</v>
      </c>
      <c r="N2389" t="str">
        <f>"B110662"</f>
        <v>B110662</v>
      </c>
      <c r="O2389" t="str">
        <f>""</f>
        <v/>
      </c>
      <c r="P2389" t="s">
        <v>664</v>
      </c>
      <c r="Q2389" t="str">
        <f>"5901225711090"</f>
        <v>5901225711090</v>
      </c>
      <c r="R2389" t="s">
        <v>807</v>
      </c>
      <c r="T2389" s="1" t="s">
        <v>808</v>
      </c>
      <c r="U2389">
        <v>402</v>
      </c>
      <c r="V2389" t="s">
        <v>664</v>
      </c>
      <c r="W2389" t="s">
        <v>668</v>
      </c>
      <c r="X2389" t="s">
        <v>224</v>
      </c>
    </row>
    <row r="2390" spans="1:24">
      <c r="A2390">
        <v>13532</v>
      </c>
      <c r="B2390" t="s">
        <v>25</v>
      </c>
      <c r="C2390" t="str">
        <f t="shared" si="76"/>
        <v>INTEGRA Hatchback</v>
      </c>
      <c r="D2390" t="str">
        <f t="shared" si="77"/>
        <v>1.5</v>
      </c>
      <c r="E2390" t="s">
        <v>1760</v>
      </c>
      <c r="F2390">
        <v>198501</v>
      </c>
      <c r="G2390">
        <v>199012</v>
      </c>
      <c r="H2390">
        <v>63</v>
      </c>
      <c r="I2390">
        <v>85</v>
      </c>
      <c r="J2390">
        <v>1488</v>
      </c>
      <c r="K2390">
        <v>2784920</v>
      </c>
      <c r="L2390" t="s">
        <v>236</v>
      </c>
      <c r="M2390" t="str">
        <f>"05P073"</f>
        <v>05P073</v>
      </c>
      <c r="N2390" t="str">
        <f>"05P073"</f>
        <v>05P073</v>
      </c>
      <c r="O2390" t="str">
        <f>"20099"</f>
        <v>20099</v>
      </c>
      <c r="P2390" t="s">
        <v>664</v>
      </c>
      <c r="Q2390" t="str">
        <f>"8032532061053"</f>
        <v>8032532061053</v>
      </c>
      <c r="R2390" t="s">
        <v>809</v>
      </c>
      <c r="S2390" t="s">
        <v>810</v>
      </c>
      <c r="T2390" s="1" t="s">
        <v>811</v>
      </c>
      <c r="U2390">
        <v>402</v>
      </c>
      <c r="V2390" t="s">
        <v>664</v>
      </c>
      <c r="W2390" t="s">
        <v>668</v>
      </c>
      <c r="X2390" t="s">
        <v>224</v>
      </c>
    </row>
    <row r="2391" spans="1:24">
      <c r="A2391">
        <v>13532</v>
      </c>
      <c r="B2391" t="s">
        <v>25</v>
      </c>
      <c r="C2391" t="str">
        <f t="shared" si="76"/>
        <v>INTEGRA Hatchback</v>
      </c>
      <c r="D2391" t="str">
        <f t="shared" si="77"/>
        <v>1.5</v>
      </c>
      <c r="E2391" t="s">
        <v>1760</v>
      </c>
      <c r="F2391">
        <v>198501</v>
      </c>
      <c r="G2391">
        <v>199012</v>
      </c>
      <c r="H2391">
        <v>63</v>
      </c>
      <c r="I2391">
        <v>85</v>
      </c>
      <c r="J2391">
        <v>1488</v>
      </c>
      <c r="K2391">
        <v>2786042</v>
      </c>
      <c r="L2391" t="s">
        <v>236</v>
      </c>
      <c r="M2391" t="str">
        <f>"05P506"</f>
        <v>05P506</v>
      </c>
      <c r="N2391" t="str">
        <f>"05P506"</f>
        <v>05P506</v>
      </c>
      <c r="O2391" t="str">
        <f>"21312"</f>
        <v>21312</v>
      </c>
      <c r="P2391" t="s">
        <v>664</v>
      </c>
      <c r="Q2391" t="str">
        <f>"8032532062470"</f>
        <v>8032532062470</v>
      </c>
      <c r="R2391" t="s">
        <v>812</v>
      </c>
      <c r="S2391" t="s">
        <v>813</v>
      </c>
      <c r="T2391" s="1" t="s">
        <v>814</v>
      </c>
      <c r="U2391">
        <v>402</v>
      </c>
      <c r="V2391" t="s">
        <v>664</v>
      </c>
      <c r="W2391" t="s">
        <v>668</v>
      </c>
      <c r="X2391" t="s">
        <v>224</v>
      </c>
    </row>
    <row r="2392" spans="1:24">
      <c r="A2392">
        <v>13532</v>
      </c>
      <c r="B2392" t="s">
        <v>25</v>
      </c>
      <c r="C2392" t="str">
        <f t="shared" si="76"/>
        <v>INTEGRA Hatchback</v>
      </c>
      <c r="D2392" t="str">
        <f t="shared" si="77"/>
        <v>1.5</v>
      </c>
      <c r="E2392" t="s">
        <v>1760</v>
      </c>
      <c r="F2392">
        <v>198501</v>
      </c>
      <c r="G2392">
        <v>199012</v>
      </c>
      <c r="H2392">
        <v>63</v>
      </c>
      <c r="I2392">
        <v>85</v>
      </c>
      <c r="J2392">
        <v>1488</v>
      </c>
      <c r="K2392">
        <v>2786081</v>
      </c>
      <c r="L2392" t="s">
        <v>236</v>
      </c>
      <c r="M2392" t="str">
        <f>"05P555"</f>
        <v>05P555</v>
      </c>
      <c r="N2392" t="str">
        <f>"05P555"</f>
        <v>05P555</v>
      </c>
      <c r="O2392" t="str">
        <f>"21448"</f>
        <v>21448</v>
      </c>
      <c r="P2392" t="s">
        <v>664</v>
      </c>
      <c r="Q2392" t="str">
        <f>"8032532058879"</f>
        <v>8032532058879</v>
      </c>
      <c r="R2392" t="s">
        <v>815</v>
      </c>
      <c r="S2392" t="s">
        <v>816</v>
      </c>
      <c r="T2392" s="1" t="s">
        <v>817</v>
      </c>
      <c r="U2392">
        <v>402</v>
      </c>
      <c r="V2392" t="s">
        <v>664</v>
      </c>
      <c r="W2392" t="s">
        <v>668</v>
      </c>
      <c r="X2392" t="s">
        <v>224</v>
      </c>
    </row>
    <row r="2393" spans="1:24">
      <c r="A2393">
        <v>13532</v>
      </c>
      <c r="B2393" t="s">
        <v>25</v>
      </c>
      <c r="C2393" t="str">
        <f t="shared" si="76"/>
        <v>INTEGRA Hatchback</v>
      </c>
      <c r="D2393" t="str">
        <f t="shared" si="77"/>
        <v>1.5</v>
      </c>
      <c r="E2393" t="s">
        <v>1760</v>
      </c>
      <c r="F2393">
        <v>198501</v>
      </c>
      <c r="G2393">
        <v>199012</v>
      </c>
      <c r="H2393">
        <v>63</v>
      </c>
      <c r="I2393">
        <v>85</v>
      </c>
      <c r="J2393">
        <v>1488</v>
      </c>
      <c r="K2393">
        <v>2807312</v>
      </c>
      <c r="L2393" t="s">
        <v>239</v>
      </c>
      <c r="M2393" t="str">
        <f>"1731"</f>
        <v>1731</v>
      </c>
      <c r="N2393" t="str">
        <f>"173.1"</f>
        <v>173.1</v>
      </c>
      <c r="O2393" t="str">
        <f>"21312"</f>
        <v>21312</v>
      </c>
      <c r="P2393" t="s">
        <v>664</v>
      </c>
      <c r="Q2393" t="str">
        <f>""</f>
        <v/>
      </c>
      <c r="R2393" t="s">
        <v>674</v>
      </c>
      <c r="S2393" t="s">
        <v>675</v>
      </c>
      <c r="T2393" s="1" t="s">
        <v>818</v>
      </c>
      <c r="U2393">
        <v>402</v>
      </c>
      <c r="V2393" t="s">
        <v>664</v>
      </c>
      <c r="W2393" t="s">
        <v>668</v>
      </c>
      <c r="X2393" t="s">
        <v>224</v>
      </c>
    </row>
    <row r="2394" spans="1:24">
      <c r="A2394">
        <v>13532</v>
      </c>
      <c r="B2394" t="s">
        <v>25</v>
      </c>
      <c r="C2394" t="str">
        <f t="shared" si="76"/>
        <v>INTEGRA Hatchback</v>
      </c>
      <c r="D2394" t="str">
        <f t="shared" si="77"/>
        <v>1.5</v>
      </c>
      <c r="E2394" t="s">
        <v>1760</v>
      </c>
      <c r="F2394">
        <v>198501</v>
      </c>
      <c r="G2394">
        <v>199012</v>
      </c>
      <c r="H2394">
        <v>63</v>
      </c>
      <c r="I2394">
        <v>85</v>
      </c>
      <c r="J2394">
        <v>1488</v>
      </c>
      <c r="K2394">
        <v>2807313</v>
      </c>
      <c r="L2394" t="s">
        <v>239</v>
      </c>
      <c r="M2394" t="str">
        <f>"1740"</f>
        <v>1740</v>
      </c>
      <c r="N2394" t="str">
        <f>"174.0"</f>
        <v>174.0</v>
      </c>
      <c r="O2394" t="str">
        <f>"21446"</f>
        <v>21446</v>
      </c>
      <c r="P2394" t="s">
        <v>664</v>
      </c>
      <c r="Q2394" t="str">
        <f>""</f>
        <v/>
      </c>
      <c r="R2394" t="s">
        <v>677</v>
      </c>
      <c r="S2394" t="s">
        <v>678</v>
      </c>
      <c r="T2394" s="1" t="s">
        <v>819</v>
      </c>
      <c r="U2394">
        <v>402</v>
      </c>
      <c r="V2394" t="s">
        <v>664</v>
      </c>
      <c r="W2394" t="s">
        <v>668</v>
      </c>
      <c r="X2394" t="s">
        <v>224</v>
      </c>
    </row>
    <row r="2395" spans="1:24">
      <c r="A2395">
        <v>13532</v>
      </c>
      <c r="B2395" t="s">
        <v>25</v>
      </c>
      <c r="C2395" t="str">
        <f t="shared" si="76"/>
        <v>INTEGRA Hatchback</v>
      </c>
      <c r="D2395" t="str">
        <f t="shared" si="77"/>
        <v>1.5</v>
      </c>
      <c r="E2395" t="s">
        <v>1760</v>
      </c>
      <c r="F2395">
        <v>198501</v>
      </c>
      <c r="G2395">
        <v>199012</v>
      </c>
      <c r="H2395">
        <v>63</v>
      </c>
      <c r="I2395">
        <v>85</v>
      </c>
      <c r="J2395">
        <v>1488</v>
      </c>
      <c r="K2395">
        <v>2807438</v>
      </c>
      <c r="L2395" t="s">
        <v>239</v>
      </c>
      <c r="M2395" t="str">
        <f>"2461"</f>
        <v>2461</v>
      </c>
      <c r="N2395" t="str">
        <f>"246.1"</f>
        <v>246.1</v>
      </c>
      <c r="O2395" t="str">
        <f>"20099"</f>
        <v>20099</v>
      </c>
      <c r="P2395" t="s">
        <v>664</v>
      </c>
      <c r="Q2395" t="str">
        <f>""</f>
        <v/>
      </c>
      <c r="R2395" t="s">
        <v>680</v>
      </c>
      <c r="S2395" t="s">
        <v>681</v>
      </c>
      <c r="T2395" s="1" t="s">
        <v>820</v>
      </c>
      <c r="U2395">
        <v>402</v>
      </c>
      <c r="V2395" t="s">
        <v>664</v>
      </c>
      <c r="W2395" t="s">
        <v>668</v>
      </c>
      <c r="X2395" t="s">
        <v>224</v>
      </c>
    </row>
    <row r="2396" spans="1:24">
      <c r="A2396">
        <v>13532</v>
      </c>
      <c r="B2396" t="s">
        <v>25</v>
      </c>
      <c r="C2396" t="str">
        <f t="shared" si="76"/>
        <v>INTEGRA Hatchback</v>
      </c>
      <c r="D2396" t="str">
        <f t="shared" si="77"/>
        <v>1.5</v>
      </c>
      <c r="E2396" t="s">
        <v>1760</v>
      </c>
      <c r="F2396">
        <v>198501</v>
      </c>
      <c r="G2396">
        <v>199012</v>
      </c>
      <c r="H2396">
        <v>63</v>
      </c>
      <c r="I2396">
        <v>85</v>
      </c>
      <c r="J2396">
        <v>1488</v>
      </c>
      <c r="K2396">
        <v>2991211</v>
      </c>
      <c r="L2396" t="s">
        <v>242</v>
      </c>
      <c r="M2396" t="str">
        <f>"FD6290A"</f>
        <v>FD6290A</v>
      </c>
      <c r="N2396" t="str">
        <f>"FD6290A"</f>
        <v>FD6290A</v>
      </c>
      <c r="O2396" t="str">
        <f>"20099"</f>
        <v>20099</v>
      </c>
      <c r="P2396" t="s">
        <v>664</v>
      </c>
      <c r="Q2396" t="str">
        <f>"8426345502214"</f>
        <v>8426345502214</v>
      </c>
      <c r="R2396" t="s">
        <v>821</v>
      </c>
      <c r="T2396" s="1" t="s">
        <v>1678</v>
      </c>
      <c r="U2396">
        <v>402</v>
      </c>
      <c r="V2396" t="s">
        <v>664</v>
      </c>
      <c r="W2396" t="s">
        <v>668</v>
      </c>
      <c r="X2396" t="s">
        <v>224</v>
      </c>
    </row>
    <row r="2397" spans="1:24">
      <c r="A2397">
        <v>13532</v>
      </c>
      <c r="B2397" t="s">
        <v>25</v>
      </c>
      <c r="C2397" t="str">
        <f t="shared" si="76"/>
        <v>INTEGRA Hatchback</v>
      </c>
      <c r="D2397" t="str">
        <f t="shared" si="77"/>
        <v>1.5</v>
      </c>
      <c r="E2397" t="s">
        <v>1760</v>
      </c>
      <c r="F2397">
        <v>198501</v>
      </c>
      <c r="G2397">
        <v>199012</v>
      </c>
      <c r="H2397">
        <v>63</v>
      </c>
      <c r="I2397">
        <v>85</v>
      </c>
      <c r="J2397">
        <v>1488</v>
      </c>
      <c r="K2397">
        <v>2991240</v>
      </c>
      <c r="L2397" t="s">
        <v>242</v>
      </c>
      <c r="M2397" t="str">
        <f>"FD6344A"</f>
        <v>FD6344A</v>
      </c>
      <c r="N2397" t="str">
        <f>"FD6344A"</f>
        <v>FD6344A</v>
      </c>
      <c r="O2397" t="str">
        <f>"21312"</f>
        <v>21312</v>
      </c>
      <c r="P2397" t="s">
        <v>664</v>
      </c>
      <c r="Q2397" t="str">
        <f>"8426345502368"</f>
        <v>8426345502368</v>
      </c>
      <c r="R2397" t="s">
        <v>740</v>
      </c>
      <c r="T2397" s="1" t="s">
        <v>823</v>
      </c>
      <c r="U2397">
        <v>402</v>
      </c>
      <c r="V2397" t="s">
        <v>664</v>
      </c>
      <c r="W2397" t="s">
        <v>668</v>
      </c>
      <c r="X2397" t="s">
        <v>224</v>
      </c>
    </row>
    <row r="2398" spans="1:24">
      <c r="A2398">
        <v>13532</v>
      </c>
      <c r="B2398" t="s">
        <v>25</v>
      </c>
      <c r="C2398" t="str">
        <f t="shared" si="76"/>
        <v>INTEGRA Hatchback</v>
      </c>
      <c r="D2398" t="str">
        <f t="shared" si="77"/>
        <v>1.5</v>
      </c>
      <c r="E2398" t="s">
        <v>1760</v>
      </c>
      <c r="F2398">
        <v>198501</v>
      </c>
      <c r="G2398">
        <v>199012</v>
      </c>
      <c r="H2398">
        <v>63</v>
      </c>
      <c r="I2398">
        <v>85</v>
      </c>
      <c r="J2398">
        <v>1488</v>
      </c>
      <c r="K2398">
        <v>2991241</v>
      </c>
      <c r="L2398" t="s">
        <v>242</v>
      </c>
      <c r="M2398" t="str">
        <f>"FD6344N"</f>
        <v>FD6344N</v>
      </c>
      <c r="N2398" t="str">
        <f>"FD6344N"</f>
        <v>FD6344N</v>
      </c>
      <c r="O2398" t="str">
        <f>"21312"</f>
        <v>21312</v>
      </c>
      <c r="P2398" t="s">
        <v>664</v>
      </c>
      <c r="Q2398" t="str">
        <f>"4044197383672"</f>
        <v>4044197383672</v>
      </c>
      <c r="R2398" t="s">
        <v>824</v>
      </c>
      <c r="T2398" s="1" t="s">
        <v>825</v>
      </c>
      <c r="U2398">
        <v>402</v>
      </c>
      <c r="V2398" t="s">
        <v>664</v>
      </c>
      <c r="W2398" t="s">
        <v>668</v>
      </c>
      <c r="X2398" t="s">
        <v>224</v>
      </c>
    </row>
    <row r="2399" spans="1:24">
      <c r="A2399">
        <v>13532</v>
      </c>
      <c r="B2399" t="s">
        <v>25</v>
      </c>
      <c r="C2399" t="str">
        <f t="shared" si="76"/>
        <v>INTEGRA Hatchback</v>
      </c>
      <c r="D2399" t="str">
        <f t="shared" si="77"/>
        <v>1.5</v>
      </c>
      <c r="E2399" t="s">
        <v>1760</v>
      </c>
      <c r="F2399">
        <v>198501</v>
      </c>
      <c r="G2399">
        <v>199012</v>
      </c>
      <c r="H2399">
        <v>63</v>
      </c>
      <c r="I2399">
        <v>85</v>
      </c>
      <c r="J2399">
        <v>1488</v>
      </c>
      <c r="K2399">
        <v>3030816</v>
      </c>
      <c r="L2399" t="s">
        <v>33</v>
      </c>
      <c r="M2399" t="str">
        <f>"J3604018"</f>
        <v>J3604018</v>
      </c>
      <c r="N2399" t="str">
        <f>"J3604018"</f>
        <v>J3604018</v>
      </c>
      <c r="O2399" t="str">
        <f>""</f>
        <v/>
      </c>
      <c r="P2399" t="s">
        <v>664</v>
      </c>
      <c r="Q2399" t="str">
        <f>"8711768056544"</f>
        <v>8711768056544</v>
      </c>
      <c r="R2399" t="s">
        <v>826</v>
      </c>
      <c r="S2399" t="s">
        <v>310</v>
      </c>
      <c r="T2399" s="1" t="s">
        <v>827</v>
      </c>
      <c r="U2399">
        <v>402</v>
      </c>
      <c r="V2399" t="s">
        <v>664</v>
      </c>
      <c r="W2399" t="s">
        <v>668</v>
      </c>
      <c r="X2399" t="s">
        <v>224</v>
      </c>
    </row>
    <row r="2400" spans="1:24">
      <c r="A2400">
        <v>13532</v>
      </c>
      <c r="B2400" t="s">
        <v>25</v>
      </c>
      <c r="C2400" t="str">
        <f t="shared" si="76"/>
        <v>INTEGRA Hatchback</v>
      </c>
      <c r="D2400" t="str">
        <f t="shared" si="77"/>
        <v>1.5</v>
      </c>
      <c r="E2400" t="s">
        <v>1760</v>
      </c>
      <c r="F2400">
        <v>198501</v>
      </c>
      <c r="G2400">
        <v>199012</v>
      </c>
      <c r="H2400">
        <v>63</v>
      </c>
      <c r="I2400">
        <v>85</v>
      </c>
      <c r="J2400">
        <v>1488</v>
      </c>
      <c r="K2400">
        <v>3030988</v>
      </c>
      <c r="L2400" t="s">
        <v>33</v>
      </c>
      <c r="M2400" t="str">
        <f>"J3614004"</f>
        <v>J3614004</v>
      </c>
      <c r="N2400" t="str">
        <f>"J3614004"</f>
        <v>J3614004</v>
      </c>
      <c r="O2400" t="str">
        <f>""</f>
        <v/>
      </c>
      <c r="P2400" t="s">
        <v>664</v>
      </c>
      <c r="Q2400" t="str">
        <f>"8711768057732"</f>
        <v>8711768057732</v>
      </c>
      <c r="R2400" t="s">
        <v>828</v>
      </c>
      <c r="S2400" t="s">
        <v>221</v>
      </c>
      <c r="T2400" s="1" t="s">
        <v>829</v>
      </c>
      <c r="U2400">
        <v>402</v>
      </c>
      <c r="V2400" t="s">
        <v>664</v>
      </c>
      <c r="W2400" t="s">
        <v>668</v>
      </c>
      <c r="X2400" t="s">
        <v>224</v>
      </c>
    </row>
    <row r="2401" spans="1:24">
      <c r="A2401">
        <v>13532</v>
      </c>
      <c r="B2401" t="s">
        <v>25</v>
      </c>
      <c r="C2401" t="str">
        <f t="shared" si="76"/>
        <v>INTEGRA Hatchback</v>
      </c>
      <c r="D2401" t="str">
        <f t="shared" si="77"/>
        <v>1.5</v>
      </c>
      <c r="E2401" t="s">
        <v>1760</v>
      </c>
      <c r="F2401">
        <v>198501</v>
      </c>
      <c r="G2401">
        <v>199012</v>
      </c>
      <c r="H2401">
        <v>63</v>
      </c>
      <c r="I2401">
        <v>85</v>
      </c>
      <c r="J2401">
        <v>1488</v>
      </c>
      <c r="K2401">
        <v>3228278</v>
      </c>
      <c r="L2401" t="s">
        <v>401</v>
      </c>
      <c r="M2401" t="str">
        <f>"6104999"</f>
        <v>6104999</v>
      </c>
      <c r="N2401" t="str">
        <f>"6104999"</f>
        <v>6104999</v>
      </c>
      <c r="O2401" t="str">
        <f>"21312"</f>
        <v>21312</v>
      </c>
      <c r="P2401" t="s">
        <v>664</v>
      </c>
      <c r="Q2401" t="str">
        <f>"3322937437313"</f>
        <v>3322937437313</v>
      </c>
      <c r="R2401" t="s">
        <v>795</v>
      </c>
      <c r="S2401" t="s">
        <v>675</v>
      </c>
      <c r="T2401" s="1" t="s">
        <v>830</v>
      </c>
      <c r="U2401">
        <v>402</v>
      </c>
      <c r="V2401" t="s">
        <v>664</v>
      </c>
      <c r="W2401" t="s">
        <v>668</v>
      </c>
      <c r="X2401" t="s">
        <v>224</v>
      </c>
    </row>
    <row r="2402" spans="1:24">
      <c r="A2402">
        <v>13532</v>
      </c>
      <c r="B2402" t="s">
        <v>25</v>
      </c>
      <c r="C2402" t="str">
        <f t="shared" si="76"/>
        <v>INTEGRA Hatchback</v>
      </c>
      <c r="D2402" t="str">
        <f t="shared" si="77"/>
        <v>1.5</v>
      </c>
      <c r="E2402" t="s">
        <v>1760</v>
      </c>
      <c r="F2402">
        <v>198501</v>
      </c>
      <c r="G2402">
        <v>199012</v>
      </c>
      <c r="H2402">
        <v>63</v>
      </c>
      <c r="I2402">
        <v>85</v>
      </c>
      <c r="J2402">
        <v>1488</v>
      </c>
      <c r="K2402">
        <v>3228413</v>
      </c>
      <c r="L2402" t="s">
        <v>401</v>
      </c>
      <c r="M2402" t="str">
        <f>"6109259"</f>
        <v>6109259</v>
      </c>
      <c r="N2402" t="str">
        <f>"6109259"</f>
        <v>6109259</v>
      </c>
      <c r="O2402" t="str">
        <f>"20099"</f>
        <v>20099</v>
      </c>
      <c r="P2402" t="s">
        <v>664</v>
      </c>
      <c r="Q2402" t="str">
        <f>"3322937438792"</f>
        <v>3322937438792</v>
      </c>
      <c r="R2402" t="s">
        <v>797</v>
      </c>
      <c r="S2402" t="s">
        <v>316</v>
      </c>
      <c r="T2402" s="1" t="s">
        <v>831</v>
      </c>
      <c r="U2402">
        <v>402</v>
      </c>
      <c r="V2402" t="s">
        <v>664</v>
      </c>
      <c r="W2402" t="s">
        <v>668</v>
      </c>
      <c r="X2402" t="s">
        <v>224</v>
      </c>
    </row>
    <row r="2403" spans="1:24">
      <c r="A2403">
        <v>13532</v>
      </c>
      <c r="B2403" t="s">
        <v>25</v>
      </c>
      <c r="C2403" t="str">
        <f t="shared" si="76"/>
        <v>INTEGRA Hatchback</v>
      </c>
      <c r="D2403" t="str">
        <f t="shared" si="77"/>
        <v>1.5</v>
      </c>
      <c r="E2403" t="s">
        <v>1760</v>
      </c>
      <c r="F2403">
        <v>198501</v>
      </c>
      <c r="G2403">
        <v>199012</v>
      </c>
      <c r="H2403">
        <v>63</v>
      </c>
      <c r="I2403">
        <v>85</v>
      </c>
      <c r="J2403">
        <v>1488</v>
      </c>
      <c r="K2403">
        <v>3229246</v>
      </c>
      <c r="L2403" t="s">
        <v>401</v>
      </c>
      <c r="M2403" t="str">
        <f>"6130349"</f>
        <v>6130349</v>
      </c>
      <c r="N2403" t="str">
        <f>"6130349"</f>
        <v>6130349</v>
      </c>
      <c r="O2403" t="str">
        <f>"21446"</f>
        <v>21446</v>
      </c>
      <c r="P2403" t="s">
        <v>664</v>
      </c>
      <c r="Q2403" t="str">
        <f>"3322937444755"</f>
        <v>3322937444755</v>
      </c>
      <c r="R2403" t="s">
        <v>793</v>
      </c>
      <c r="S2403" t="s">
        <v>678</v>
      </c>
      <c r="T2403" s="1" t="s">
        <v>832</v>
      </c>
      <c r="U2403">
        <v>402</v>
      </c>
      <c r="V2403" t="s">
        <v>664</v>
      </c>
      <c r="W2403" t="s">
        <v>668</v>
      </c>
      <c r="X2403" t="s">
        <v>224</v>
      </c>
    </row>
    <row r="2404" spans="1:24">
      <c r="A2404">
        <v>13532</v>
      </c>
      <c r="B2404" t="s">
        <v>25</v>
      </c>
      <c r="C2404" t="str">
        <f t="shared" si="76"/>
        <v>INTEGRA Hatchback</v>
      </c>
      <c r="D2404" t="str">
        <f t="shared" si="77"/>
        <v>1.5</v>
      </c>
      <c r="E2404" t="s">
        <v>1760</v>
      </c>
      <c r="F2404">
        <v>198501</v>
      </c>
      <c r="G2404">
        <v>199012</v>
      </c>
      <c r="H2404">
        <v>63</v>
      </c>
      <c r="I2404">
        <v>85</v>
      </c>
      <c r="J2404">
        <v>1488</v>
      </c>
      <c r="K2404">
        <v>3234188</v>
      </c>
      <c r="L2404" t="s">
        <v>199</v>
      </c>
      <c r="M2404" t="str">
        <f>"022802"</f>
        <v>022802</v>
      </c>
      <c r="N2404" t="str">
        <f>"0228 02"</f>
        <v>0228 02</v>
      </c>
      <c r="O2404" t="str">
        <f>""</f>
        <v/>
      </c>
      <c r="P2404" t="s">
        <v>664</v>
      </c>
      <c r="Q2404" t="str">
        <f>""</f>
        <v/>
      </c>
      <c r="R2404" t="s">
        <v>774</v>
      </c>
      <c r="T2404" s="1" t="s">
        <v>780</v>
      </c>
      <c r="U2404">
        <v>402</v>
      </c>
      <c r="V2404" t="s">
        <v>664</v>
      </c>
      <c r="W2404" t="s">
        <v>668</v>
      </c>
      <c r="X2404" t="s">
        <v>224</v>
      </c>
    </row>
    <row r="2405" spans="1:24">
      <c r="A2405">
        <v>13532</v>
      </c>
      <c r="B2405" t="s">
        <v>25</v>
      </c>
      <c r="C2405" t="str">
        <f t="shared" si="76"/>
        <v>INTEGRA Hatchback</v>
      </c>
      <c r="D2405" t="str">
        <f t="shared" si="77"/>
        <v>1.5</v>
      </c>
      <c r="E2405" t="s">
        <v>1760</v>
      </c>
      <c r="F2405">
        <v>198501</v>
      </c>
      <c r="G2405">
        <v>199012</v>
      </c>
      <c r="H2405">
        <v>63</v>
      </c>
      <c r="I2405">
        <v>85</v>
      </c>
      <c r="J2405">
        <v>1488</v>
      </c>
      <c r="K2405">
        <v>3234197</v>
      </c>
      <c r="L2405" t="s">
        <v>199</v>
      </c>
      <c r="M2405" t="str">
        <f>"023320"</f>
        <v>023320</v>
      </c>
      <c r="N2405" t="str">
        <f>"0233 20"</f>
        <v>0233 20</v>
      </c>
      <c r="O2405" t="str">
        <f>""</f>
        <v/>
      </c>
      <c r="P2405" t="s">
        <v>664</v>
      </c>
      <c r="Q2405" t="str">
        <f>""</f>
        <v/>
      </c>
      <c r="R2405" s="1" t="s">
        <v>776</v>
      </c>
      <c r="T2405" s="1" t="s">
        <v>781</v>
      </c>
      <c r="U2405">
        <v>402</v>
      </c>
      <c r="V2405" t="s">
        <v>664</v>
      </c>
      <c r="W2405" t="s">
        <v>668</v>
      </c>
      <c r="X2405" t="s">
        <v>224</v>
      </c>
    </row>
    <row r="2406" spans="1:24">
      <c r="A2406">
        <v>13532</v>
      </c>
      <c r="B2406" t="s">
        <v>25</v>
      </c>
      <c r="C2406" t="str">
        <f t="shared" si="76"/>
        <v>INTEGRA Hatchback</v>
      </c>
      <c r="D2406" t="str">
        <f t="shared" si="77"/>
        <v>1.5</v>
      </c>
      <c r="E2406" t="s">
        <v>1760</v>
      </c>
      <c r="F2406">
        <v>198501</v>
      </c>
      <c r="G2406">
        <v>199012</v>
      </c>
      <c r="H2406">
        <v>63</v>
      </c>
      <c r="I2406">
        <v>85</v>
      </c>
      <c r="J2406">
        <v>1488</v>
      </c>
      <c r="K2406">
        <v>3234996</v>
      </c>
      <c r="L2406" t="s">
        <v>199</v>
      </c>
      <c r="M2406" t="str">
        <f>"064610"</f>
        <v>064610</v>
      </c>
      <c r="N2406" t="str">
        <f>"0646 10"</f>
        <v>0646 10</v>
      </c>
      <c r="O2406" t="str">
        <f>""</f>
        <v/>
      </c>
      <c r="P2406" t="s">
        <v>664</v>
      </c>
      <c r="Q2406" t="str">
        <f>""</f>
        <v/>
      </c>
      <c r="R2406" t="s">
        <v>782</v>
      </c>
      <c r="T2406" s="1" t="s">
        <v>833</v>
      </c>
      <c r="U2406">
        <v>402</v>
      </c>
      <c r="V2406" t="s">
        <v>664</v>
      </c>
      <c r="W2406" t="s">
        <v>668</v>
      </c>
      <c r="X2406" t="s">
        <v>224</v>
      </c>
    </row>
    <row r="2407" spans="1:24">
      <c r="A2407">
        <v>13532</v>
      </c>
      <c r="B2407" t="s">
        <v>25</v>
      </c>
      <c r="C2407" t="str">
        <f t="shared" si="76"/>
        <v>INTEGRA Hatchback</v>
      </c>
      <c r="D2407" t="str">
        <f t="shared" si="77"/>
        <v>1.5</v>
      </c>
      <c r="E2407" t="s">
        <v>1760</v>
      </c>
      <c r="F2407">
        <v>198501</v>
      </c>
      <c r="G2407">
        <v>199012</v>
      </c>
      <c r="H2407">
        <v>63</v>
      </c>
      <c r="I2407">
        <v>85</v>
      </c>
      <c r="J2407">
        <v>1488</v>
      </c>
      <c r="K2407">
        <v>3299734</v>
      </c>
      <c r="L2407" t="s">
        <v>247</v>
      </c>
      <c r="M2407" t="str">
        <f>"1731"</f>
        <v>1731</v>
      </c>
      <c r="N2407" t="str">
        <f>"173.1"</f>
        <v>173.1</v>
      </c>
      <c r="O2407" t="str">
        <f>"21312"</f>
        <v>21312</v>
      </c>
      <c r="P2407" t="s">
        <v>664</v>
      </c>
      <c r="Q2407" t="str">
        <f>""</f>
        <v/>
      </c>
      <c r="R2407" t="s">
        <v>674</v>
      </c>
      <c r="S2407" t="s">
        <v>675</v>
      </c>
      <c r="T2407" s="1" t="s">
        <v>818</v>
      </c>
      <c r="U2407">
        <v>402</v>
      </c>
      <c r="V2407" t="s">
        <v>664</v>
      </c>
      <c r="W2407" t="s">
        <v>668</v>
      </c>
      <c r="X2407" t="s">
        <v>224</v>
      </c>
    </row>
    <row r="2408" spans="1:24">
      <c r="A2408">
        <v>13532</v>
      </c>
      <c r="B2408" t="s">
        <v>25</v>
      </c>
      <c r="C2408" t="str">
        <f t="shared" si="76"/>
        <v>INTEGRA Hatchback</v>
      </c>
      <c r="D2408" t="str">
        <f t="shared" si="77"/>
        <v>1.5</v>
      </c>
      <c r="E2408" t="s">
        <v>1760</v>
      </c>
      <c r="F2408">
        <v>198501</v>
      </c>
      <c r="G2408">
        <v>199012</v>
      </c>
      <c r="H2408">
        <v>63</v>
      </c>
      <c r="I2408">
        <v>85</v>
      </c>
      <c r="J2408">
        <v>1488</v>
      </c>
      <c r="K2408">
        <v>3299829</v>
      </c>
      <c r="L2408" t="s">
        <v>247</v>
      </c>
      <c r="M2408" t="str">
        <f>"1740"</f>
        <v>1740</v>
      </c>
      <c r="N2408" t="str">
        <f>"174.0"</f>
        <v>174.0</v>
      </c>
      <c r="O2408" t="str">
        <f>"21446"</f>
        <v>21446</v>
      </c>
      <c r="P2408" t="s">
        <v>664</v>
      </c>
      <c r="Q2408" t="str">
        <f>""</f>
        <v/>
      </c>
      <c r="R2408" t="s">
        <v>677</v>
      </c>
      <c r="S2408" t="s">
        <v>678</v>
      </c>
      <c r="T2408" s="1" t="s">
        <v>819</v>
      </c>
      <c r="U2408">
        <v>402</v>
      </c>
      <c r="V2408" t="s">
        <v>664</v>
      </c>
      <c r="W2408" t="s">
        <v>668</v>
      </c>
      <c r="X2408" t="s">
        <v>224</v>
      </c>
    </row>
    <row r="2409" spans="1:24">
      <c r="A2409">
        <v>13532</v>
      </c>
      <c r="B2409" t="s">
        <v>25</v>
      </c>
      <c r="C2409" t="str">
        <f t="shared" si="76"/>
        <v>INTEGRA Hatchback</v>
      </c>
      <c r="D2409" t="str">
        <f t="shared" si="77"/>
        <v>1.5</v>
      </c>
      <c r="E2409" t="s">
        <v>1760</v>
      </c>
      <c r="F2409">
        <v>198501</v>
      </c>
      <c r="G2409">
        <v>199012</v>
      </c>
      <c r="H2409">
        <v>63</v>
      </c>
      <c r="I2409">
        <v>85</v>
      </c>
      <c r="J2409">
        <v>1488</v>
      </c>
      <c r="K2409">
        <v>3300011</v>
      </c>
      <c r="L2409" t="s">
        <v>247</v>
      </c>
      <c r="M2409" t="str">
        <f>"2461"</f>
        <v>2461</v>
      </c>
      <c r="N2409" t="str">
        <f>"246.1"</f>
        <v>246.1</v>
      </c>
      <c r="O2409" t="str">
        <f>"20099"</f>
        <v>20099</v>
      </c>
      <c r="P2409" t="s">
        <v>664</v>
      </c>
      <c r="Q2409" t="str">
        <f>""</f>
        <v/>
      </c>
      <c r="R2409" t="s">
        <v>680</v>
      </c>
      <c r="S2409" t="s">
        <v>681</v>
      </c>
      <c r="T2409" s="1" t="s">
        <v>820</v>
      </c>
      <c r="U2409">
        <v>402</v>
      </c>
      <c r="V2409" t="s">
        <v>664</v>
      </c>
      <c r="W2409" t="s">
        <v>668</v>
      </c>
      <c r="X2409" t="s">
        <v>224</v>
      </c>
    </row>
    <row r="2410" spans="1:24">
      <c r="A2410">
        <v>13532</v>
      </c>
      <c r="B2410" t="s">
        <v>25</v>
      </c>
      <c r="C2410" t="str">
        <f t="shared" si="76"/>
        <v>INTEGRA Hatchback</v>
      </c>
      <c r="D2410" t="str">
        <f t="shared" si="77"/>
        <v>1.5</v>
      </c>
      <c r="E2410" t="s">
        <v>1760</v>
      </c>
      <c r="F2410">
        <v>198501</v>
      </c>
      <c r="G2410">
        <v>199012</v>
      </c>
      <c r="H2410">
        <v>63</v>
      </c>
      <c r="I2410">
        <v>85</v>
      </c>
      <c r="J2410">
        <v>1488</v>
      </c>
      <c r="K2410">
        <v>3362438</v>
      </c>
      <c r="L2410" t="s">
        <v>274</v>
      </c>
      <c r="M2410" t="str">
        <f>"120349"</f>
        <v>120349</v>
      </c>
      <c r="N2410" t="str">
        <f>"12-0349"</f>
        <v>12-0349</v>
      </c>
      <c r="O2410" t="str">
        <f>"20104"</f>
        <v>20104</v>
      </c>
      <c r="P2410" t="s">
        <v>664</v>
      </c>
      <c r="Q2410" t="str">
        <f>""</f>
        <v/>
      </c>
      <c r="R2410" t="s">
        <v>834</v>
      </c>
      <c r="T2410" s="1" t="s">
        <v>835</v>
      </c>
      <c r="U2410">
        <v>402</v>
      </c>
      <c r="V2410" t="s">
        <v>664</v>
      </c>
      <c r="W2410" t="s">
        <v>668</v>
      </c>
      <c r="X2410" t="s">
        <v>224</v>
      </c>
    </row>
    <row r="2411" spans="1:24">
      <c r="A2411">
        <v>13532</v>
      </c>
      <c r="B2411" t="s">
        <v>25</v>
      </c>
      <c r="C2411" t="str">
        <f t="shared" si="76"/>
        <v>INTEGRA Hatchback</v>
      </c>
      <c r="D2411" t="str">
        <f t="shared" si="77"/>
        <v>1.5</v>
      </c>
      <c r="E2411" t="s">
        <v>1760</v>
      </c>
      <c r="F2411">
        <v>198501</v>
      </c>
      <c r="G2411">
        <v>199012</v>
      </c>
      <c r="H2411">
        <v>63</v>
      </c>
      <c r="I2411">
        <v>85</v>
      </c>
      <c r="J2411">
        <v>1488</v>
      </c>
      <c r="K2411">
        <v>3362460</v>
      </c>
      <c r="L2411" t="s">
        <v>274</v>
      </c>
      <c r="M2411" t="str">
        <f>"120371"</f>
        <v>120371</v>
      </c>
      <c r="N2411" t="str">
        <f>"12-0371"</f>
        <v>12-0371</v>
      </c>
      <c r="O2411" t="str">
        <f>"20067"</f>
        <v>20067</v>
      </c>
      <c r="P2411" t="s">
        <v>664</v>
      </c>
      <c r="Q2411" t="str">
        <f>""</f>
        <v/>
      </c>
      <c r="R2411" t="s">
        <v>836</v>
      </c>
      <c r="T2411" s="1" t="s">
        <v>837</v>
      </c>
      <c r="U2411">
        <v>402</v>
      </c>
      <c r="V2411" t="s">
        <v>664</v>
      </c>
      <c r="W2411" t="s">
        <v>668</v>
      </c>
      <c r="X2411" t="s">
        <v>224</v>
      </c>
    </row>
    <row r="2412" spans="1:24">
      <c r="A2412">
        <v>13532</v>
      </c>
      <c r="B2412" t="s">
        <v>25</v>
      </c>
      <c r="C2412" t="str">
        <f t="shared" si="76"/>
        <v>INTEGRA Hatchback</v>
      </c>
      <c r="D2412" t="str">
        <f t="shared" si="77"/>
        <v>1.5</v>
      </c>
      <c r="E2412" t="s">
        <v>1760</v>
      </c>
      <c r="F2412">
        <v>198501</v>
      </c>
      <c r="G2412">
        <v>199012</v>
      </c>
      <c r="H2412">
        <v>63</v>
      </c>
      <c r="I2412">
        <v>85</v>
      </c>
      <c r="J2412">
        <v>1488</v>
      </c>
      <c r="K2412">
        <v>3362484</v>
      </c>
      <c r="L2412" t="s">
        <v>274</v>
      </c>
      <c r="M2412" t="str">
        <f>"120396"</f>
        <v>120396</v>
      </c>
      <c r="N2412" t="str">
        <f>"12-0396"</f>
        <v>12-0396</v>
      </c>
      <c r="O2412" t="str">
        <f>"21312"</f>
        <v>21312</v>
      </c>
      <c r="P2412" t="s">
        <v>664</v>
      </c>
      <c r="Q2412" t="str">
        <f>""</f>
        <v/>
      </c>
      <c r="R2412" t="s">
        <v>838</v>
      </c>
      <c r="T2412" s="1" t="s">
        <v>839</v>
      </c>
      <c r="U2412">
        <v>402</v>
      </c>
      <c r="V2412" t="s">
        <v>664</v>
      </c>
      <c r="W2412" t="s">
        <v>668</v>
      </c>
      <c r="X2412" t="s">
        <v>224</v>
      </c>
    </row>
    <row r="2413" spans="1:24">
      <c r="A2413">
        <v>13532</v>
      </c>
      <c r="B2413" t="s">
        <v>25</v>
      </c>
      <c r="C2413" t="str">
        <f t="shared" si="76"/>
        <v>INTEGRA Hatchback</v>
      </c>
      <c r="D2413" t="str">
        <f t="shared" si="77"/>
        <v>1.5</v>
      </c>
      <c r="E2413" t="s">
        <v>1760</v>
      </c>
      <c r="F2413">
        <v>198501</v>
      </c>
      <c r="G2413">
        <v>199012</v>
      </c>
      <c r="H2413">
        <v>63</v>
      </c>
      <c r="I2413">
        <v>85</v>
      </c>
      <c r="J2413">
        <v>1488</v>
      </c>
      <c r="K2413">
        <v>3362566</v>
      </c>
      <c r="L2413" t="s">
        <v>274</v>
      </c>
      <c r="M2413" t="str">
        <f>"120479"</f>
        <v>120479</v>
      </c>
      <c r="N2413" t="str">
        <f>"12-0479"</f>
        <v>12-0479</v>
      </c>
      <c r="O2413" t="str">
        <f>"21323"</f>
        <v>21323</v>
      </c>
      <c r="P2413" t="s">
        <v>664</v>
      </c>
      <c r="Q2413" t="str">
        <f>""</f>
        <v/>
      </c>
      <c r="R2413" t="s">
        <v>840</v>
      </c>
      <c r="T2413" s="1" t="s">
        <v>841</v>
      </c>
      <c r="U2413">
        <v>402</v>
      </c>
      <c r="V2413" t="s">
        <v>664</v>
      </c>
      <c r="W2413" t="s">
        <v>668</v>
      </c>
      <c r="X2413" t="s">
        <v>224</v>
      </c>
    </row>
    <row r="2414" spans="1:24">
      <c r="A2414">
        <v>13532</v>
      </c>
      <c r="B2414" t="s">
        <v>25</v>
      </c>
      <c r="C2414" t="str">
        <f t="shared" si="76"/>
        <v>INTEGRA Hatchback</v>
      </c>
      <c r="D2414" t="str">
        <f t="shared" si="77"/>
        <v>1.5</v>
      </c>
      <c r="E2414" t="s">
        <v>1760</v>
      </c>
      <c r="F2414">
        <v>198501</v>
      </c>
      <c r="G2414">
        <v>199012</v>
      </c>
      <c r="H2414">
        <v>63</v>
      </c>
      <c r="I2414">
        <v>85</v>
      </c>
      <c r="J2414">
        <v>1488</v>
      </c>
      <c r="K2414">
        <v>3362567</v>
      </c>
      <c r="L2414" t="s">
        <v>274</v>
      </c>
      <c r="M2414" t="str">
        <f>"120480"</f>
        <v>120480</v>
      </c>
      <c r="N2414" t="str">
        <f>"12-0480"</f>
        <v>12-0480</v>
      </c>
      <c r="O2414" t="str">
        <f>"21446"</f>
        <v>21446</v>
      </c>
      <c r="P2414" t="s">
        <v>664</v>
      </c>
      <c r="Q2414" t="str">
        <f>""</f>
        <v/>
      </c>
      <c r="R2414" t="s">
        <v>842</v>
      </c>
      <c r="T2414" s="1" t="s">
        <v>843</v>
      </c>
      <c r="U2414">
        <v>402</v>
      </c>
      <c r="V2414" t="s">
        <v>664</v>
      </c>
      <c r="W2414" t="s">
        <v>668</v>
      </c>
      <c r="X2414" t="s">
        <v>224</v>
      </c>
    </row>
    <row r="2415" spans="1:24">
      <c r="A2415">
        <v>13532</v>
      </c>
      <c r="B2415" t="s">
        <v>25</v>
      </c>
      <c r="C2415" t="str">
        <f t="shared" si="76"/>
        <v>INTEGRA Hatchback</v>
      </c>
      <c r="D2415" t="str">
        <f t="shared" si="77"/>
        <v>1.5</v>
      </c>
      <c r="E2415" t="s">
        <v>1760</v>
      </c>
      <c r="F2415">
        <v>198501</v>
      </c>
      <c r="G2415">
        <v>199012</v>
      </c>
      <c r="H2415">
        <v>63</v>
      </c>
      <c r="I2415">
        <v>85</v>
      </c>
      <c r="J2415">
        <v>1488</v>
      </c>
      <c r="K2415">
        <v>3368766</v>
      </c>
      <c r="L2415" t="s">
        <v>248</v>
      </c>
      <c r="M2415" t="str">
        <f>"8221701"</f>
        <v>8221701</v>
      </c>
      <c r="N2415" t="str">
        <f>"822-170-1"</f>
        <v>822-170-1</v>
      </c>
      <c r="O2415" t="str">
        <f>""</f>
        <v/>
      </c>
      <c r="P2415" t="s">
        <v>664</v>
      </c>
      <c r="Q2415" t="str">
        <f>""</f>
        <v/>
      </c>
      <c r="R2415" t="s">
        <v>674</v>
      </c>
      <c r="S2415" t="s">
        <v>675</v>
      </c>
      <c r="T2415" s="1" t="s">
        <v>844</v>
      </c>
      <c r="U2415">
        <v>402</v>
      </c>
      <c r="V2415" t="s">
        <v>664</v>
      </c>
      <c r="W2415" t="s">
        <v>668</v>
      </c>
      <c r="X2415" t="s">
        <v>224</v>
      </c>
    </row>
    <row r="2416" spans="1:24">
      <c r="A2416">
        <v>13532</v>
      </c>
      <c r="B2416" t="s">
        <v>25</v>
      </c>
      <c r="C2416" t="str">
        <f t="shared" si="76"/>
        <v>INTEGRA Hatchback</v>
      </c>
      <c r="D2416" t="str">
        <f t="shared" si="77"/>
        <v>1.5</v>
      </c>
      <c r="E2416" t="s">
        <v>1760</v>
      </c>
      <c r="F2416">
        <v>198501</v>
      </c>
      <c r="G2416">
        <v>199012</v>
      </c>
      <c r="H2416">
        <v>63</v>
      </c>
      <c r="I2416">
        <v>85</v>
      </c>
      <c r="J2416">
        <v>1488</v>
      </c>
      <c r="K2416">
        <v>3368767</v>
      </c>
      <c r="L2416" t="s">
        <v>248</v>
      </c>
      <c r="M2416" t="str">
        <f>"8221710"</f>
        <v>8221710</v>
      </c>
      <c r="N2416" t="str">
        <f>"822-171-0"</f>
        <v>822-171-0</v>
      </c>
      <c r="O2416" t="str">
        <f>""</f>
        <v/>
      </c>
      <c r="P2416" t="s">
        <v>664</v>
      </c>
      <c r="Q2416" t="str">
        <f>""</f>
        <v/>
      </c>
      <c r="R2416" t="s">
        <v>677</v>
      </c>
      <c r="S2416" t="s">
        <v>678</v>
      </c>
      <c r="T2416" s="1" t="s">
        <v>845</v>
      </c>
      <c r="U2416">
        <v>402</v>
      </c>
      <c r="V2416" t="s">
        <v>664</v>
      </c>
      <c r="W2416" t="s">
        <v>668</v>
      </c>
      <c r="X2416" t="s">
        <v>224</v>
      </c>
    </row>
    <row r="2417" spans="1:24">
      <c r="A2417">
        <v>13532</v>
      </c>
      <c r="B2417" t="s">
        <v>25</v>
      </c>
      <c r="C2417" t="str">
        <f t="shared" si="76"/>
        <v>INTEGRA Hatchback</v>
      </c>
      <c r="D2417" t="str">
        <f t="shared" si="77"/>
        <v>1.5</v>
      </c>
      <c r="E2417" t="s">
        <v>1760</v>
      </c>
      <c r="F2417">
        <v>198501</v>
      </c>
      <c r="G2417">
        <v>199012</v>
      </c>
      <c r="H2417">
        <v>63</v>
      </c>
      <c r="I2417">
        <v>85</v>
      </c>
      <c r="J2417">
        <v>1488</v>
      </c>
      <c r="K2417">
        <v>3368892</v>
      </c>
      <c r="L2417" t="s">
        <v>248</v>
      </c>
      <c r="M2417" t="str">
        <f>"8222371"</f>
        <v>8222371</v>
      </c>
      <c r="N2417" t="str">
        <f>"822-237-1"</f>
        <v>822-237-1</v>
      </c>
      <c r="O2417" t="str">
        <f>""</f>
        <v/>
      </c>
      <c r="P2417" t="s">
        <v>664</v>
      </c>
      <c r="Q2417" t="str">
        <f>""</f>
        <v/>
      </c>
      <c r="R2417" t="s">
        <v>680</v>
      </c>
      <c r="S2417" t="s">
        <v>681</v>
      </c>
      <c r="T2417" s="1" t="s">
        <v>846</v>
      </c>
      <c r="U2417">
        <v>402</v>
      </c>
      <c r="V2417" t="s">
        <v>664</v>
      </c>
      <c r="W2417" t="s">
        <v>668</v>
      </c>
      <c r="X2417" t="s">
        <v>224</v>
      </c>
    </row>
    <row r="2418" spans="1:24">
      <c r="A2418">
        <v>13532</v>
      </c>
      <c r="B2418" t="s">
        <v>25</v>
      </c>
      <c r="C2418" t="str">
        <f t="shared" si="76"/>
        <v>INTEGRA Hatchback</v>
      </c>
      <c r="D2418" t="str">
        <f t="shared" si="77"/>
        <v>1.5</v>
      </c>
      <c r="E2418" t="s">
        <v>1760</v>
      </c>
      <c r="F2418">
        <v>198501</v>
      </c>
      <c r="G2418">
        <v>199012</v>
      </c>
      <c r="H2418">
        <v>63</v>
      </c>
      <c r="I2418">
        <v>85</v>
      </c>
      <c r="J2418">
        <v>1488</v>
      </c>
      <c r="K2418">
        <v>3658278</v>
      </c>
      <c r="L2418" t="s">
        <v>410</v>
      </c>
      <c r="M2418" t="str">
        <f>"P328302"</f>
        <v>P328302</v>
      </c>
      <c r="N2418" t="str">
        <f>"P3283.02"</f>
        <v>P3283.02</v>
      </c>
      <c r="O2418" t="str">
        <f>"PSA328302"</f>
        <v>PSA328302</v>
      </c>
      <c r="P2418" t="s">
        <v>664</v>
      </c>
      <c r="Q2418" t="str">
        <f>"8427975255747"</f>
        <v>8427975255747</v>
      </c>
      <c r="R2418" t="s">
        <v>774</v>
      </c>
      <c r="T2418" s="1" t="s">
        <v>847</v>
      </c>
      <c r="U2418">
        <v>402</v>
      </c>
      <c r="V2418" t="s">
        <v>664</v>
      </c>
      <c r="W2418" t="s">
        <v>668</v>
      </c>
      <c r="X2418" t="s">
        <v>224</v>
      </c>
    </row>
    <row r="2419" spans="1:24">
      <c r="A2419">
        <v>13532</v>
      </c>
      <c r="B2419" t="s">
        <v>25</v>
      </c>
      <c r="C2419" t="str">
        <f t="shared" si="76"/>
        <v>INTEGRA Hatchback</v>
      </c>
      <c r="D2419" t="str">
        <f t="shared" si="77"/>
        <v>1.5</v>
      </c>
      <c r="E2419" t="s">
        <v>1760</v>
      </c>
      <c r="F2419">
        <v>198501</v>
      </c>
      <c r="G2419">
        <v>199012</v>
      </c>
      <c r="H2419">
        <v>63</v>
      </c>
      <c r="I2419">
        <v>85</v>
      </c>
      <c r="J2419">
        <v>1488</v>
      </c>
      <c r="K2419">
        <v>3658286</v>
      </c>
      <c r="L2419" t="s">
        <v>410</v>
      </c>
      <c r="M2419" t="str">
        <f>"P333320"</f>
        <v>P333320</v>
      </c>
      <c r="N2419" t="str">
        <f>"P3333.20"</f>
        <v>P3333.20</v>
      </c>
      <c r="O2419" t="str">
        <f>"PSA333320"</f>
        <v>PSA333320</v>
      </c>
      <c r="P2419" t="s">
        <v>664</v>
      </c>
      <c r="Q2419" t="str">
        <f>"8427975255839"</f>
        <v>8427975255839</v>
      </c>
      <c r="R2419" s="1" t="s">
        <v>776</v>
      </c>
      <c r="T2419" s="1" t="s">
        <v>848</v>
      </c>
      <c r="U2419">
        <v>402</v>
      </c>
      <c r="V2419" t="s">
        <v>664</v>
      </c>
      <c r="W2419" t="s">
        <v>668</v>
      </c>
      <c r="X2419" t="s">
        <v>224</v>
      </c>
    </row>
    <row r="2420" spans="1:24">
      <c r="A2420">
        <v>13532</v>
      </c>
      <c r="B2420" t="s">
        <v>25</v>
      </c>
      <c r="C2420" t="str">
        <f t="shared" si="76"/>
        <v>INTEGRA Hatchback</v>
      </c>
      <c r="D2420" t="str">
        <f t="shared" si="77"/>
        <v>1.5</v>
      </c>
      <c r="E2420" t="s">
        <v>1760</v>
      </c>
      <c r="F2420">
        <v>198501</v>
      </c>
      <c r="G2420">
        <v>199012</v>
      </c>
      <c r="H2420">
        <v>63</v>
      </c>
      <c r="I2420">
        <v>85</v>
      </c>
      <c r="J2420">
        <v>1488</v>
      </c>
      <c r="K2420">
        <v>3658826</v>
      </c>
      <c r="L2420" t="s">
        <v>410</v>
      </c>
      <c r="M2420" t="str">
        <f>"P746310"</f>
        <v>P746310</v>
      </c>
      <c r="N2420" t="str">
        <f>"P7463.10"</f>
        <v>P7463.10</v>
      </c>
      <c r="O2420" t="str">
        <f>"PSA746310"</f>
        <v>PSA746310</v>
      </c>
      <c r="P2420" t="s">
        <v>664</v>
      </c>
      <c r="Q2420" t="str">
        <f>"8427975262202"</f>
        <v>8427975262202</v>
      </c>
      <c r="R2420" s="1" t="s">
        <v>778</v>
      </c>
      <c r="T2420" s="1" t="s">
        <v>849</v>
      </c>
      <c r="U2420">
        <v>402</v>
      </c>
      <c r="V2420" t="s">
        <v>664</v>
      </c>
      <c r="W2420" t="s">
        <v>668</v>
      </c>
      <c r="X2420" t="s">
        <v>224</v>
      </c>
    </row>
    <row r="2421" spans="1:24">
      <c r="A2421">
        <v>13532</v>
      </c>
      <c r="B2421" t="s">
        <v>25</v>
      </c>
      <c r="C2421" t="str">
        <f t="shared" si="76"/>
        <v>INTEGRA Hatchback</v>
      </c>
      <c r="D2421" t="str">
        <f t="shared" si="77"/>
        <v>1.5</v>
      </c>
      <c r="E2421" t="s">
        <v>1760</v>
      </c>
      <c r="F2421">
        <v>198501</v>
      </c>
      <c r="G2421">
        <v>199012</v>
      </c>
      <c r="H2421">
        <v>63</v>
      </c>
      <c r="I2421">
        <v>85</v>
      </c>
      <c r="J2421">
        <v>1488</v>
      </c>
      <c r="K2421">
        <v>3712150</v>
      </c>
      <c r="L2421" t="s">
        <v>412</v>
      </c>
      <c r="M2421" t="str">
        <f>"PA463"</f>
        <v>PA463</v>
      </c>
      <c r="N2421" t="str">
        <f>"PA463"</f>
        <v>PA463</v>
      </c>
      <c r="O2421" t="str">
        <f>"20099"</f>
        <v>20099</v>
      </c>
      <c r="P2421" t="s">
        <v>664</v>
      </c>
      <c r="Q2421" t="str">
        <f>"5050590452852"</f>
        <v>5050590452852</v>
      </c>
      <c r="R2421" t="s">
        <v>797</v>
      </c>
      <c r="S2421" t="s">
        <v>316</v>
      </c>
      <c r="T2421" s="1" t="s">
        <v>850</v>
      </c>
      <c r="U2421">
        <v>402</v>
      </c>
      <c r="V2421" t="s">
        <v>664</v>
      </c>
      <c r="W2421" t="s">
        <v>668</v>
      </c>
      <c r="X2421" t="s">
        <v>224</v>
      </c>
    </row>
    <row r="2422" spans="1:24">
      <c r="A2422">
        <v>13532</v>
      </c>
      <c r="B2422" t="s">
        <v>25</v>
      </c>
      <c r="C2422" t="str">
        <f t="shared" si="76"/>
        <v>INTEGRA Hatchback</v>
      </c>
      <c r="D2422" t="str">
        <f t="shared" si="77"/>
        <v>1.5</v>
      </c>
      <c r="E2422" t="s">
        <v>1760</v>
      </c>
      <c r="F2422">
        <v>198501</v>
      </c>
      <c r="G2422">
        <v>199012</v>
      </c>
      <c r="H2422">
        <v>63</v>
      </c>
      <c r="I2422">
        <v>85</v>
      </c>
      <c r="J2422">
        <v>1488</v>
      </c>
      <c r="K2422">
        <v>3712206</v>
      </c>
      <c r="L2422" t="s">
        <v>412</v>
      </c>
      <c r="M2422" t="str">
        <f>"PA545"</f>
        <v>PA545</v>
      </c>
      <c r="N2422" t="str">
        <f>"PA545"</f>
        <v>PA545</v>
      </c>
      <c r="O2422" t="str">
        <f>"21312"</f>
        <v>21312</v>
      </c>
      <c r="P2422" t="s">
        <v>664</v>
      </c>
      <c r="Q2422" t="str">
        <f>"5050590453668"</f>
        <v>5050590453668</v>
      </c>
      <c r="R2422" t="s">
        <v>851</v>
      </c>
      <c r="S2422" t="s">
        <v>675</v>
      </c>
      <c r="T2422" s="1" t="s">
        <v>852</v>
      </c>
      <c r="U2422">
        <v>402</v>
      </c>
      <c r="V2422" t="s">
        <v>664</v>
      </c>
      <c r="W2422" t="s">
        <v>668</v>
      </c>
      <c r="X2422" t="s">
        <v>224</v>
      </c>
    </row>
    <row r="2423" spans="1:24">
      <c r="A2423">
        <v>13532</v>
      </c>
      <c r="B2423" t="s">
        <v>25</v>
      </c>
      <c r="C2423" t="str">
        <f t="shared" si="76"/>
        <v>INTEGRA Hatchback</v>
      </c>
      <c r="D2423" t="str">
        <f t="shared" si="77"/>
        <v>1.5</v>
      </c>
      <c r="E2423" t="s">
        <v>1760</v>
      </c>
      <c r="F2423">
        <v>198501</v>
      </c>
      <c r="G2423">
        <v>199012</v>
      </c>
      <c r="H2423">
        <v>63</v>
      </c>
      <c r="I2423">
        <v>85</v>
      </c>
      <c r="J2423">
        <v>1488</v>
      </c>
      <c r="K2423">
        <v>3712247</v>
      </c>
      <c r="L2423" t="s">
        <v>412</v>
      </c>
      <c r="M2423" t="str">
        <f>"PA737"</f>
        <v>PA737</v>
      </c>
      <c r="N2423" t="str">
        <f>"PA737"</f>
        <v>PA737</v>
      </c>
      <c r="O2423" t="str">
        <f>"21446"</f>
        <v>21446</v>
      </c>
      <c r="P2423" t="s">
        <v>664</v>
      </c>
      <c r="Q2423" t="str">
        <f>"5050590455242"</f>
        <v>5050590455242</v>
      </c>
      <c r="R2423" t="s">
        <v>853</v>
      </c>
      <c r="S2423" t="s">
        <v>678</v>
      </c>
      <c r="T2423" s="1" t="s">
        <v>854</v>
      </c>
      <c r="U2423">
        <v>402</v>
      </c>
      <c r="V2423" t="s">
        <v>664</v>
      </c>
      <c r="W2423" t="s">
        <v>668</v>
      </c>
      <c r="X2423" t="s">
        <v>224</v>
      </c>
    </row>
    <row r="2424" spans="1:24">
      <c r="A2424">
        <v>13532</v>
      </c>
      <c r="B2424" t="s">
        <v>25</v>
      </c>
      <c r="C2424" t="str">
        <f t="shared" si="76"/>
        <v>INTEGRA Hatchback</v>
      </c>
      <c r="D2424" t="str">
        <f t="shared" si="77"/>
        <v>1.5</v>
      </c>
      <c r="E2424" t="s">
        <v>1760</v>
      </c>
      <c r="F2424">
        <v>198501</v>
      </c>
      <c r="G2424">
        <v>199012</v>
      </c>
      <c r="H2424">
        <v>63</v>
      </c>
      <c r="I2424">
        <v>85</v>
      </c>
      <c r="J2424">
        <v>1488</v>
      </c>
      <c r="K2424">
        <v>3751363</v>
      </c>
      <c r="L2424" t="s">
        <v>855</v>
      </c>
      <c r="M2424" t="str">
        <f>"4530"</f>
        <v>4530</v>
      </c>
      <c r="N2424" t="str">
        <f>"453.0"</f>
        <v>453.0</v>
      </c>
      <c r="O2424" t="str">
        <f>"21312"</f>
        <v>21312</v>
      </c>
      <c r="P2424" t="s">
        <v>664</v>
      </c>
      <c r="Q2424" t="str">
        <f>""</f>
        <v/>
      </c>
      <c r="R2424" t="s">
        <v>856</v>
      </c>
      <c r="T2424" s="1" t="s">
        <v>857</v>
      </c>
      <c r="U2424">
        <v>402</v>
      </c>
      <c r="V2424" t="s">
        <v>664</v>
      </c>
      <c r="W2424" t="s">
        <v>668</v>
      </c>
      <c r="X2424" t="s">
        <v>224</v>
      </c>
    </row>
    <row r="2425" spans="1:24">
      <c r="A2425">
        <v>13532</v>
      </c>
      <c r="B2425" t="s">
        <v>25</v>
      </c>
      <c r="C2425" t="str">
        <f t="shared" si="76"/>
        <v>INTEGRA Hatchback</v>
      </c>
      <c r="D2425" t="str">
        <f t="shared" si="77"/>
        <v>1.5</v>
      </c>
      <c r="E2425" t="s">
        <v>1760</v>
      </c>
      <c r="F2425">
        <v>198501</v>
      </c>
      <c r="G2425">
        <v>199012</v>
      </c>
      <c r="H2425">
        <v>63</v>
      </c>
      <c r="I2425">
        <v>85</v>
      </c>
      <c r="J2425">
        <v>1488</v>
      </c>
      <c r="K2425">
        <v>3752703</v>
      </c>
      <c r="L2425" t="s">
        <v>855</v>
      </c>
      <c r="M2425" t="str">
        <f>"RA04530"</f>
        <v>RA04530</v>
      </c>
      <c r="N2425" t="str">
        <f>"RA.0453.0"</f>
        <v>RA.0453.0</v>
      </c>
      <c r="O2425" t="str">
        <f>"21312"</f>
        <v>21312</v>
      </c>
      <c r="P2425" t="s">
        <v>664</v>
      </c>
      <c r="Q2425" t="str">
        <f>""</f>
        <v/>
      </c>
      <c r="R2425" t="s">
        <v>858</v>
      </c>
      <c r="T2425" s="1" t="s">
        <v>857</v>
      </c>
      <c r="U2425">
        <v>402</v>
      </c>
      <c r="V2425" t="s">
        <v>664</v>
      </c>
      <c r="W2425" t="s">
        <v>668</v>
      </c>
      <c r="X242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table-use-products-for-selected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2017-03-07T00:26:13Z</dcterms:created>
  <dcterms:modified xsi:type="dcterms:W3CDTF">2017-03-07T00:26:13Z</dcterms:modified>
</cp:coreProperties>
</file>